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440" windowHeight="15600" activeTab="2"/>
  </bookViews>
  <sheets>
    <sheet name="Стр.1" sheetId="8" r:id="rId1"/>
    <sheet name="1" sheetId="16" r:id="rId2"/>
    <sheet name="Стр.2-8" sheetId="9" r:id="rId3"/>
    <sheet name="Стр.9-11" sheetId="14" r:id="rId4"/>
    <sheet name="Стр. 12-14" sheetId="2" r:id="rId5"/>
    <sheet name="Стр.15" sheetId="3" r:id="rId6"/>
  </sheets>
  <externalReferences>
    <externalReference r:id="rId7"/>
  </externalReferences>
  <definedNames>
    <definedName name="_ftn2" localSheetId="2">'Стр.2-8'!#REF!</definedName>
    <definedName name="_ftn2" localSheetId="3">'Стр.9-11'!#REF!</definedName>
    <definedName name="_ftn3" localSheetId="3">'Стр.9-11'!#REF!</definedName>
    <definedName name="_ftn4" localSheetId="2">'Стр.2-8'!$A$307</definedName>
    <definedName name="_ftn4" localSheetId="3">'Стр.9-11'!#REF!</definedName>
    <definedName name="_ftn5" localSheetId="2">'Стр.2-8'!$A$308</definedName>
    <definedName name="_ftn5" localSheetId="3">'Стр.9-11'!#REF!</definedName>
    <definedName name="_ftn7" localSheetId="2">'Стр.2-8'!$A$310</definedName>
    <definedName name="_ftn7" localSheetId="3">'Стр.9-11'!#REF!</definedName>
    <definedName name="_ftn8" localSheetId="2">'Стр.2-8'!$A$311</definedName>
    <definedName name="_ftn8" localSheetId="3">'Стр.9-11'!#REF!</definedName>
    <definedName name="_ftnref1" localSheetId="2">'Стр.2-8'!$C$2</definedName>
    <definedName name="_ftnref1" localSheetId="3">'Стр.9-11'!#REF!</definedName>
    <definedName name="_ftnref2" localSheetId="2">'Стр.2-8'!$D$2</definedName>
    <definedName name="_ftnref2" localSheetId="3">'Стр.9-11'!$E$2</definedName>
    <definedName name="_ftnref3" localSheetId="2">'Стр.2-8'!$A$5</definedName>
    <definedName name="_ftnref3" localSheetId="3">'Стр.9-11'!$B$5</definedName>
    <definedName name="_ftnref4" localSheetId="2">'Стр.2-8'!$A$25</definedName>
    <definedName name="_ftnref4" localSheetId="3">'Стр.9-11'!#REF!</definedName>
    <definedName name="_ftnref5" localSheetId="2">'Стр.2-8'!$A$67</definedName>
    <definedName name="_ftnref5" localSheetId="3">'Стр.9-11'!#REF!</definedName>
    <definedName name="_ftnref6" localSheetId="2">'Стр.2-8'!#REF!</definedName>
    <definedName name="_ftnref6" localSheetId="3">'Стр.9-11'!#REF!</definedName>
    <definedName name="_ftnref7" localSheetId="2">'Стр.2-8'!$A$287</definedName>
    <definedName name="_ftnref7" localSheetId="3">'Стр.9-11'!#REF!</definedName>
    <definedName name="_ftnref8" localSheetId="2">'Стр.2-8'!$A$292</definedName>
    <definedName name="_ftnref8" localSheetId="3">'Стр.9-11'!#REF!</definedName>
    <definedName name="_xlnm._FilterDatabase" localSheetId="4" hidden="1">'Стр. 12-14'!#REF!</definedName>
    <definedName name="_xlnm.Print_Area" localSheetId="1">'1'!$A$1:$GP$54</definedName>
    <definedName name="_xlnm.Print_Area" localSheetId="4">'Стр. 12-14'!$A$1:$I$54</definedName>
    <definedName name="_xlnm.Print_Area" localSheetId="0">Стр.1!$A$2:$DD$36</definedName>
    <definedName name="_xlnm.Print_Area" localSheetId="2">'Стр.2-8'!$A$1:$K$298</definedName>
    <definedName name="_xlnm.Print_Area" localSheetId="3">'Стр.9-11'!$A$1:$L$38</definedName>
  </definedNames>
  <calcPr calcId="125725"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9"/>
  <c r="H74"/>
  <c r="I74"/>
  <c r="J74" s="1"/>
  <c r="K74" s="1"/>
  <c r="H75"/>
  <c r="I75"/>
  <c r="J75"/>
  <c r="K75"/>
  <c r="H286" l="1"/>
  <c r="H285"/>
  <c r="G238"/>
  <c r="G234"/>
  <c r="I227"/>
  <c r="H227"/>
  <c r="I219"/>
  <c r="H219"/>
  <c r="G205"/>
  <c r="G224"/>
  <c r="I162"/>
  <c r="H162"/>
  <c r="I158"/>
  <c r="H158"/>
  <c r="G162"/>
  <c r="G158"/>
  <c r="H282" l="1"/>
  <c r="I114"/>
  <c r="I118"/>
  <c r="J118"/>
  <c r="K118"/>
  <c r="H118"/>
  <c r="G115"/>
  <c r="H18" l="1"/>
  <c r="G18"/>
  <c r="BR52" i="16"/>
  <c r="BR51"/>
  <c r="BR50"/>
  <c r="BR49"/>
  <c r="BR48"/>
  <c r="AZ48"/>
  <c r="AZ47"/>
  <c r="BR47" s="1"/>
  <c r="BR46"/>
  <c r="BR53" s="1"/>
  <c r="AZ46"/>
  <c r="BN39"/>
  <c r="BN40" s="1"/>
  <c r="GR35"/>
  <c r="CP26"/>
  <c r="Y26"/>
  <c r="GQ25"/>
  <c r="DZ25"/>
  <c r="DZ26" s="1"/>
  <c r="DZ27" s="1"/>
  <c r="BX25"/>
  <c r="ER24"/>
  <c r="AO24" s="1"/>
  <c r="BX24"/>
  <c r="GQ23"/>
  <c r="GQ24" s="1"/>
  <c r="ER23"/>
  <c r="BX23"/>
  <c r="AO23"/>
  <c r="FJ23" s="1"/>
  <c r="GQ22"/>
  <c r="ER22"/>
  <c r="BX22"/>
  <c r="AO22" s="1"/>
  <c r="GQ21"/>
  <c r="ER21"/>
  <c r="DH21"/>
  <c r="DH26" s="1"/>
  <c r="DH27" s="1"/>
  <c r="CP21"/>
  <c r="BF21"/>
  <c r="BF26" s="1"/>
  <c r="DZ20"/>
  <c r="DH20"/>
  <c r="CP20"/>
  <c r="CP27" s="1"/>
  <c r="Y20"/>
  <c r="Y27" s="1"/>
  <c r="GQ19"/>
  <c r="ER19"/>
  <c r="BX19"/>
  <c r="AO19" s="1"/>
  <c r="GQ18"/>
  <c r="ER18"/>
  <c r="AO18" s="1"/>
  <c r="GQ17"/>
  <c r="GR17" s="1"/>
  <c r="GS17" s="1"/>
  <c r="GT17" s="1"/>
  <c r="FZ17"/>
  <c r="FJ17"/>
  <c r="ER17"/>
  <c r="AO17"/>
  <c r="GY16"/>
  <c r="GY17" s="1"/>
  <c r="GQ16"/>
  <c r="BX16"/>
  <c r="BX20" s="1"/>
  <c r="BF16"/>
  <c r="BF20" s="1"/>
  <c r="BF27" s="1"/>
  <c r="GY15"/>
  <c r="ER15"/>
  <c r="BX15"/>
  <c r="GY14"/>
  <c r="ER14"/>
  <c r="BX14"/>
  <c r="AO14"/>
  <c r="FZ19" l="1"/>
  <c r="GR19" s="1"/>
  <c r="GS19" s="1"/>
  <c r="GT19" s="1"/>
  <c r="FJ19"/>
  <c r="FJ22"/>
  <c r="FZ22"/>
  <c r="FJ24"/>
  <c r="FZ24" s="1"/>
  <c r="GR24" s="1"/>
  <c r="GS24" s="1"/>
  <c r="GT24" s="1"/>
  <c r="FJ18"/>
  <c r="FZ18"/>
  <c r="GR18" s="1"/>
  <c r="GS18" s="1"/>
  <c r="GT18" s="1"/>
  <c r="AO25"/>
  <c r="GR22"/>
  <c r="GS22" s="1"/>
  <c r="GT22" s="1"/>
  <c r="FZ14"/>
  <c r="FJ14"/>
  <c r="AO15"/>
  <c r="ER16"/>
  <c r="ER20" s="1"/>
  <c r="ER27" s="1"/>
  <c r="BX21"/>
  <c r="BX26" s="1"/>
  <c r="BX27" s="1"/>
  <c r="ER25"/>
  <c r="ER26" s="1"/>
  <c r="FZ23"/>
  <c r="GR23" s="1"/>
  <c r="GS23" s="1"/>
  <c r="GT23" s="1"/>
  <c r="AO21"/>
  <c r="FJ15" l="1"/>
  <c r="FZ15" s="1"/>
  <c r="AO26"/>
  <c r="FJ21"/>
  <c r="FJ26" s="1"/>
  <c r="FJ25"/>
  <c r="FZ25" s="1"/>
  <c r="GR25" s="1"/>
  <c r="GS25" s="1"/>
  <c r="GT25" s="1"/>
  <c r="GR14"/>
  <c r="GS14" s="1"/>
  <c r="GT14" s="1"/>
  <c r="AO20"/>
  <c r="AO16"/>
  <c r="GR15" l="1"/>
  <c r="GS15" s="1"/>
  <c r="GT15" s="1"/>
  <c r="FJ16"/>
  <c r="FJ20" s="1"/>
  <c r="FJ27" s="1"/>
  <c r="FZ16"/>
  <c r="GR16" s="1"/>
  <c r="GS16" s="1"/>
  <c r="GT16" s="1"/>
  <c r="AO27"/>
  <c r="FZ21"/>
  <c r="I30" i="14"/>
  <c r="GR21" i="16" l="1"/>
  <c r="GS21" s="1"/>
  <c r="GT21" s="1"/>
  <c r="FZ26"/>
  <c r="FZ20"/>
  <c r="FZ27" l="1"/>
  <c r="GY19" l="1"/>
  <c r="GY20" s="1"/>
  <c r="BW37"/>
  <c r="BN28"/>
  <c r="GS31"/>
  <c r="GT31" s="1"/>
  <c r="H9" i="14" l="1"/>
  <c r="E34" i="2" l="1"/>
  <c r="E19" l="1"/>
  <c r="F19" s="1"/>
  <c r="E18"/>
  <c r="E16" s="1"/>
  <c r="F16" s="1"/>
  <c r="BN74" i="9"/>
  <c r="H13" i="14"/>
  <c r="H32" i="2"/>
  <c r="I32" s="1"/>
  <c r="E47"/>
  <c r="G222" i="9"/>
  <c r="H29" i="14"/>
  <c r="G106" i="9"/>
  <c r="O70" l="1"/>
  <c r="F18" i="2"/>
  <c r="O58" i="9"/>
  <c r="H23" i="14"/>
  <c r="BY5" l="1"/>
  <c r="CZ5"/>
  <c r="EA5"/>
  <c r="FB5"/>
  <c r="H26"/>
  <c r="H25" s="1"/>
  <c r="E39" i="2" l="1"/>
  <c r="I34"/>
  <c r="H34"/>
  <c r="G34"/>
  <c r="F34"/>
  <c r="G19"/>
  <c r="H19" s="1"/>
  <c r="I19" s="1"/>
  <c r="G18"/>
  <c r="H18" s="1"/>
  <c r="I18" s="1"/>
  <c r="F14"/>
  <c r="G14" s="1"/>
  <c r="E15"/>
  <c r="G13"/>
  <c r="F13"/>
  <c r="E13"/>
  <c r="G12"/>
  <c r="F12"/>
  <c r="E12"/>
  <c r="E10" l="1"/>
  <c r="G16"/>
  <c r="H16" s="1"/>
  <c r="I16" s="1"/>
  <c r="K8"/>
  <c r="G96" i="9"/>
  <c r="L8" i="2" l="1"/>
  <c r="G208" i="9" l="1"/>
  <c r="H213"/>
  <c r="G213"/>
  <c r="AR285" l="1"/>
  <c r="AF72" l="1"/>
  <c r="O72"/>
  <c r="H150" l="1"/>
  <c r="H148" s="1"/>
  <c r="G150"/>
  <c r="G148" s="1"/>
  <c r="F150"/>
  <c r="F148" s="1"/>
  <c r="E150"/>
  <c r="E148" s="1"/>
  <c r="K150" l="1"/>
  <c r="K148" s="1"/>
  <c r="J150"/>
  <c r="J148" s="1"/>
  <c r="I150"/>
  <c r="I148" s="1"/>
  <c r="F9" i="2" l="1"/>
  <c r="L9" s="1"/>
  <c r="G9"/>
  <c r="E9"/>
  <c r="K9" s="1"/>
  <c r="K10" s="1"/>
  <c r="AF71" i="9"/>
  <c r="O71"/>
  <c r="O74" s="1"/>
  <c r="O75" s="1"/>
  <c r="I16" i="14"/>
  <c r="H16"/>
  <c r="G49" i="9"/>
  <c r="I285"/>
  <c r="H114"/>
  <c r="K54"/>
  <c r="J54"/>
  <c r="K55"/>
  <c r="J55"/>
  <c r="K53"/>
  <c r="J53"/>
  <c r="I22"/>
  <c r="G47" i="2" l="1"/>
  <c r="F47"/>
  <c r="I26" i="14"/>
  <c r="G282" i="9"/>
  <c r="I23" i="14"/>
  <c r="R80" i="9"/>
  <c r="A16" i="3" l="1"/>
  <c r="A26" s="1"/>
  <c r="G80" i="9" l="1"/>
  <c r="G85"/>
  <c r="J223" l="1"/>
  <c r="J22"/>
  <c r="K223" l="1"/>
  <c r="H47" i="2"/>
  <c r="J146" i="9"/>
  <c r="K146" s="1"/>
  <c r="K145" s="1"/>
  <c r="G145"/>
  <c r="F145"/>
  <c r="E145"/>
  <c r="J292"/>
  <c r="J287"/>
  <c r="J278"/>
  <c r="J265"/>
  <c r="J238"/>
  <c r="J234"/>
  <c r="J219"/>
  <c r="J211"/>
  <c r="J139"/>
  <c r="J83"/>
  <c r="J87"/>
  <c r="J91"/>
  <c r="G50" i="2"/>
  <c r="H50" s="1"/>
  <c r="I50" s="1"/>
  <c r="H12"/>
  <c r="I12" s="1"/>
  <c r="H13"/>
  <c r="I13" s="1"/>
  <c r="H14"/>
  <c r="E37"/>
  <c r="I14" l="1"/>
  <c r="I9" s="1"/>
  <c r="I37" s="1"/>
  <c r="H9"/>
  <c r="H145" i="9"/>
  <c r="I145"/>
  <c r="J145"/>
  <c r="I39" i="2"/>
  <c r="I31"/>
  <c r="I30"/>
  <c r="I28" s="1"/>
  <c r="I23"/>
  <c r="K201" i="9"/>
  <c r="K199" s="1"/>
  <c r="K198" s="1"/>
  <c r="K193"/>
  <c r="K191" s="1"/>
  <c r="K190" s="1"/>
  <c r="K188"/>
  <c r="K186" s="1"/>
  <c r="K5"/>
  <c r="J162"/>
  <c r="J158"/>
  <c r="K185" l="1"/>
  <c r="K22"/>
  <c r="G5"/>
  <c r="D14" i="2" l="1"/>
  <c r="D15" s="1"/>
  <c r="D10" s="1"/>
  <c r="D16"/>
  <c r="D18"/>
  <c r="D9" l="1"/>
  <c r="F18" i="9"/>
  <c r="F238"/>
  <c r="F234"/>
  <c r="F162"/>
  <c r="F158"/>
  <c r="F115"/>
  <c r="G13" i="14" s="1"/>
  <c r="E11" i="9" l="1"/>
  <c r="F6" l="1"/>
  <c r="F49"/>
  <c r="F15" s="1"/>
  <c r="H204"/>
  <c r="I204" s="1"/>
  <c r="H203"/>
  <c r="I203" s="1"/>
  <c r="H202"/>
  <c r="J201"/>
  <c r="J199" s="1"/>
  <c r="J198" s="1"/>
  <c r="F201"/>
  <c r="F199" s="1"/>
  <c r="F198" s="1"/>
  <c r="E201"/>
  <c r="E199" s="1"/>
  <c r="E198" s="1"/>
  <c r="F217"/>
  <c r="G201" l="1"/>
  <c r="G199" s="1"/>
  <c r="G198" s="1"/>
  <c r="H201"/>
  <c r="H199" s="1"/>
  <c r="H198" s="1"/>
  <c r="I202"/>
  <c r="I201" s="1"/>
  <c r="I199" s="1"/>
  <c r="I198" s="1"/>
  <c r="D47" i="2" l="1"/>
  <c r="C47"/>
  <c r="D9" i="3" l="1"/>
  <c r="D34" i="2" l="1"/>
  <c r="D39" s="1"/>
  <c r="C34"/>
  <c r="C39" l="1"/>
  <c r="C37"/>
  <c r="F15"/>
  <c r="F10" s="1"/>
  <c r="G15"/>
  <c r="G23"/>
  <c r="H23"/>
  <c r="F30"/>
  <c r="F28" s="1"/>
  <c r="G30"/>
  <c r="G28" s="1"/>
  <c r="H30"/>
  <c r="H28" s="1"/>
  <c r="F31"/>
  <c r="G31"/>
  <c r="H31"/>
  <c r="D31"/>
  <c r="D30"/>
  <c r="D28" s="1"/>
  <c r="G10" l="1"/>
  <c r="H15"/>
  <c r="M9"/>
  <c r="I15" l="1"/>
  <c r="I10" s="1"/>
  <c r="H10"/>
  <c r="D23"/>
  <c r="F16" i="14"/>
  <c r="F106" i="9" l="1"/>
  <c r="F286"/>
  <c r="E286" l="1"/>
  <c r="F23" i="14" s="1"/>
  <c r="E238" i="9"/>
  <c r="E234"/>
  <c r="E224"/>
  <c r="E193"/>
  <c r="H196"/>
  <c r="I196" s="1"/>
  <c r="E162"/>
  <c r="E158"/>
  <c r="E115"/>
  <c r="F13" i="14" l="1"/>
  <c r="F8" i="9"/>
  <c r="G247" l="1"/>
  <c r="G246" s="1"/>
  <c r="F247"/>
  <c r="F246" s="1"/>
  <c r="E247"/>
  <c r="E246" s="1"/>
  <c r="G245"/>
  <c r="H245" s="1"/>
  <c r="F242"/>
  <c r="E242"/>
  <c r="I160"/>
  <c r="G160"/>
  <c r="G159" s="1"/>
  <c r="F160"/>
  <c r="F159" s="1"/>
  <c r="E160"/>
  <c r="E159" s="1"/>
  <c r="I155"/>
  <c r="J155" s="1"/>
  <c r="G155"/>
  <c r="F155"/>
  <c r="E155"/>
  <c r="I96"/>
  <c r="F96"/>
  <c r="E96"/>
  <c r="F39" i="2"/>
  <c r="G39"/>
  <c r="H39"/>
  <c r="D37"/>
  <c r="F37"/>
  <c r="G37"/>
  <c r="H37"/>
  <c r="J193" i="9"/>
  <c r="J191" s="1"/>
  <c r="J190" s="1"/>
  <c r="J188"/>
  <c r="J186" s="1"/>
  <c r="F269"/>
  <c r="E269"/>
  <c r="F143"/>
  <c r="G143"/>
  <c r="G141" s="1"/>
  <c r="H143"/>
  <c r="H141" s="1"/>
  <c r="E143"/>
  <c r="F282"/>
  <c r="F280" s="1"/>
  <c r="F279" s="1"/>
  <c r="F75" s="1"/>
  <c r="E282"/>
  <c r="E280" s="1"/>
  <c r="E279" s="1"/>
  <c r="E75" s="1"/>
  <c r="F193"/>
  <c r="F191" s="1"/>
  <c r="F190" s="1"/>
  <c r="E191"/>
  <c r="E190" s="1"/>
  <c r="G197"/>
  <c r="H197" s="1"/>
  <c r="I197" s="1"/>
  <c r="H195"/>
  <c r="I195" s="1"/>
  <c r="G194"/>
  <c r="F188"/>
  <c r="F186" s="1"/>
  <c r="E188"/>
  <c r="E186" s="1"/>
  <c r="E185" s="1"/>
  <c r="G188"/>
  <c r="G186" s="1"/>
  <c r="G185" s="1"/>
  <c r="G276"/>
  <c r="G274" s="1"/>
  <c r="G272" s="1"/>
  <c r="E276"/>
  <c r="E274" s="1"/>
  <c r="E272" s="1"/>
  <c r="E271" s="1"/>
  <c r="F276"/>
  <c r="F274" s="1"/>
  <c r="F272" s="1"/>
  <c r="F271" s="1"/>
  <c r="G264"/>
  <c r="G262" s="1"/>
  <c r="G261" s="1"/>
  <c r="F264"/>
  <c r="F262" s="1"/>
  <c r="F261" s="1"/>
  <c r="E264"/>
  <c r="E262" s="1"/>
  <c r="E261" s="1"/>
  <c r="H260"/>
  <c r="F258"/>
  <c r="F257" s="1"/>
  <c r="E258"/>
  <c r="E257" s="1"/>
  <c r="G253"/>
  <c r="F253"/>
  <c r="E253"/>
  <c r="F236"/>
  <c r="F235" s="1"/>
  <c r="E236"/>
  <c r="E235" s="1"/>
  <c r="I231"/>
  <c r="J231" s="1"/>
  <c r="F231"/>
  <c r="E231"/>
  <c r="I215"/>
  <c r="I213" s="1"/>
  <c r="J227"/>
  <c r="K227" s="1"/>
  <c r="I224"/>
  <c r="J224" s="1"/>
  <c r="K224" s="1"/>
  <c r="F222"/>
  <c r="F220" s="1"/>
  <c r="E222"/>
  <c r="E220" s="1"/>
  <c r="F216"/>
  <c r="E217"/>
  <c r="E216" s="1"/>
  <c r="F213"/>
  <c r="E213"/>
  <c r="E223" s="1"/>
  <c r="I212"/>
  <c r="J212" s="1"/>
  <c r="F208"/>
  <c r="E208"/>
  <c r="G184"/>
  <c r="G182" s="1"/>
  <c r="G181" s="1"/>
  <c r="F182"/>
  <c r="F181" s="1"/>
  <c r="E182"/>
  <c r="E181" s="1"/>
  <c r="G180"/>
  <c r="H180" s="1"/>
  <c r="F177"/>
  <c r="E177"/>
  <c r="J215" l="1"/>
  <c r="J213" s="1"/>
  <c r="I286"/>
  <c r="AW72" s="1"/>
  <c r="I159"/>
  <c r="J159" s="1"/>
  <c r="J160"/>
  <c r="G269"/>
  <c r="F185"/>
  <c r="K222"/>
  <c r="K220" s="1"/>
  <c r="H96"/>
  <c r="H94" s="1"/>
  <c r="H92" s="1"/>
  <c r="I276"/>
  <c r="I269"/>
  <c r="F251"/>
  <c r="F250" s="1"/>
  <c r="H249"/>
  <c r="I249" s="1"/>
  <c r="I247" s="1"/>
  <c r="I246" s="1"/>
  <c r="E240"/>
  <c r="E239" s="1"/>
  <c r="I264"/>
  <c r="H188"/>
  <c r="H186" s="1"/>
  <c r="H185" s="1"/>
  <c r="F240"/>
  <c r="F239" s="1"/>
  <c r="J222"/>
  <c r="J220" s="1"/>
  <c r="I245"/>
  <c r="I242" s="1"/>
  <c r="H242"/>
  <c r="G242"/>
  <c r="G240" s="1"/>
  <c r="G239" s="1"/>
  <c r="J185"/>
  <c r="J270"/>
  <c r="E206"/>
  <c r="E205" s="1"/>
  <c r="F22" i="14"/>
  <c r="E153" i="9"/>
  <c r="E152" s="1"/>
  <c r="G153"/>
  <c r="G152" s="1"/>
  <c r="F153"/>
  <c r="F152" s="1"/>
  <c r="H160"/>
  <c r="H159" s="1"/>
  <c r="H155"/>
  <c r="G23" i="14"/>
  <c r="G22" s="1"/>
  <c r="I189" i="9"/>
  <c r="G280"/>
  <c r="H280"/>
  <c r="G193"/>
  <c r="G191" s="1"/>
  <c r="G190" s="1"/>
  <c r="G231"/>
  <c r="G236"/>
  <c r="G235" s="1"/>
  <c r="H194"/>
  <c r="I194" s="1"/>
  <c r="G271"/>
  <c r="F267"/>
  <c r="G16" i="14" s="1"/>
  <c r="E267" i="9"/>
  <c r="E229"/>
  <c r="E228" s="1"/>
  <c r="H256"/>
  <c r="I256" s="1"/>
  <c r="I253" s="1"/>
  <c r="I236"/>
  <c r="H236"/>
  <c r="H235" s="1"/>
  <c r="F229"/>
  <c r="F228" s="1"/>
  <c r="H231"/>
  <c r="I260"/>
  <c r="I258" s="1"/>
  <c r="I257" s="1"/>
  <c r="H258"/>
  <c r="H257" s="1"/>
  <c r="E251"/>
  <c r="E250" s="1"/>
  <c r="G258"/>
  <c r="G257" s="1"/>
  <c r="G251" s="1"/>
  <c r="G250" s="1"/>
  <c r="I208"/>
  <c r="J208" s="1"/>
  <c r="H208"/>
  <c r="F206"/>
  <c r="F205" s="1"/>
  <c r="G217"/>
  <c r="G216" s="1"/>
  <c r="G206" s="1"/>
  <c r="I217"/>
  <c r="H217"/>
  <c r="H216" s="1"/>
  <c r="I222"/>
  <c r="I220" s="1"/>
  <c r="H222"/>
  <c r="H220" s="1"/>
  <c r="G220"/>
  <c r="E175"/>
  <c r="E174" s="1"/>
  <c r="H184"/>
  <c r="F175"/>
  <c r="F174" s="1"/>
  <c r="I180"/>
  <c r="I177" s="1"/>
  <c r="H177"/>
  <c r="G177"/>
  <c r="G175" s="1"/>
  <c r="G174" s="1"/>
  <c r="I173"/>
  <c r="I171" s="1"/>
  <c r="I170" s="1"/>
  <c r="G171"/>
  <c r="G170" s="1"/>
  <c r="F171"/>
  <c r="F170" s="1"/>
  <c r="E171"/>
  <c r="E170" s="1"/>
  <c r="F166"/>
  <c r="E166"/>
  <c r="I138"/>
  <c r="F138"/>
  <c r="F136" s="1"/>
  <c r="E138"/>
  <c r="E136" s="1"/>
  <c r="E125"/>
  <c r="F129"/>
  <c r="G129"/>
  <c r="E129"/>
  <c r="G132"/>
  <c r="G131" s="1"/>
  <c r="F132"/>
  <c r="F131" s="1"/>
  <c r="E132"/>
  <c r="E131" s="1"/>
  <c r="F125"/>
  <c r="I84"/>
  <c r="E111"/>
  <c r="E109" s="1"/>
  <c r="F94"/>
  <c r="F92" s="1"/>
  <c r="G94"/>
  <c r="G92" s="1"/>
  <c r="I94"/>
  <c r="E94"/>
  <c r="E92" s="1"/>
  <c r="E80"/>
  <c r="F111"/>
  <c r="F109" s="1"/>
  <c r="I119"/>
  <c r="J119" s="1"/>
  <c r="K119" s="1"/>
  <c r="I120"/>
  <c r="J120" s="1"/>
  <c r="K120" s="1"/>
  <c r="J121"/>
  <c r="K121" s="1"/>
  <c r="K115"/>
  <c r="E106"/>
  <c r="F104"/>
  <c r="E104"/>
  <c r="F101"/>
  <c r="E101"/>
  <c r="G104"/>
  <c r="F89"/>
  <c r="F88" s="1"/>
  <c r="E89"/>
  <c r="E88" s="1"/>
  <c r="F85"/>
  <c r="H85"/>
  <c r="I85"/>
  <c r="J85" s="1"/>
  <c r="E85"/>
  <c r="F80"/>
  <c r="AN80" l="1"/>
  <c r="M8" i="2"/>
  <c r="I282" i="9"/>
  <c r="I280" s="1"/>
  <c r="I279" s="1"/>
  <c r="AW71"/>
  <c r="J16" i="14"/>
  <c r="J286" i="9"/>
  <c r="J23" i="14"/>
  <c r="J84" i="9"/>
  <c r="J285"/>
  <c r="I188"/>
  <c r="I186" s="1"/>
  <c r="I185" s="1"/>
  <c r="I153"/>
  <c r="I152" s="1"/>
  <c r="J152" s="1"/>
  <c r="K152" s="1"/>
  <c r="I129"/>
  <c r="J129" s="1"/>
  <c r="J130"/>
  <c r="I136"/>
  <c r="J136" s="1"/>
  <c r="J138"/>
  <c r="I235"/>
  <c r="J236"/>
  <c r="I274"/>
  <c r="J276"/>
  <c r="I216"/>
  <c r="J216" s="1"/>
  <c r="J217"/>
  <c r="J269"/>
  <c r="J267" s="1"/>
  <c r="J266" s="1"/>
  <c r="K270"/>
  <c r="K269" s="1"/>
  <c r="K267" s="1"/>
  <c r="I262"/>
  <c r="I261" s="1"/>
  <c r="J261" s="1"/>
  <c r="K261" s="1"/>
  <c r="J264"/>
  <c r="I117"/>
  <c r="I125"/>
  <c r="J125" s="1"/>
  <c r="H269"/>
  <c r="H267" s="1"/>
  <c r="H276"/>
  <c r="H274" s="1"/>
  <c r="H272" s="1"/>
  <c r="H271" s="1"/>
  <c r="H264"/>
  <c r="H247"/>
  <c r="H246" s="1"/>
  <c r="H240" s="1"/>
  <c r="H239" s="1"/>
  <c r="I240"/>
  <c r="I239" s="1"/>
  <c r="H229"/>
  <c r="H228" s="1"/>
  <c r="I251"/>
  <c r="I250" s="1"/>
  <c r="G229"/>
  <c r="G228" s="1"/>
  <c r="H153"/>
  <c r="H152" s="1"/>
  <c r="J144"/>
  <c r="K16" i="14" s="1"/>
  <c r="K15" s="1"/>
  <c r="I143" i="9"/>
  <c r="I141" s="1"/>
  <c r="H279"/>
  <c r="I22" i="14"/>
  <c r="G279" i="9"/>
  <c r="H22" i="14"/>
  <c r="F266" i="9"/>
  <c r="F74" s="1"/>
  <c r="G15" i="14"/>
  <c r="E266" i="9"/>
  <c r="E74" s="1"/>
  <c r="F15" i="14"/>
  <c r="G267" i="9"/>
  <c r="I193"/>
  <c r="I191" s="1"/>
  <c r="H193"/>
  <c r="H191" s="1"/>
  <c r="H190" s="1"/>
  <c r="H253"/>
  <c r="H251" s="1"/>
  <c r="H250" s="1"/>
  <c r="H206"/>
  <c r="H205" s="1"/>
  <c r="E164"/>
  <c r="E163" s="1"/>
  <c r="H182"/>
  <c r="H181" s="1"/>
  <c r="H175" s="1"/>
  <c r="H174" s="1"/>
  <c r="I184"/>
  <c r="I182" s="1"/>
  <c r="I181" s="1"/>
  <c r="I175" s="1"/>
  <c r="I174" s="1"/>
  <c r="F164"/>
  <c r="F163" s="1"/>
  <c r="H166"/>
  <c r="I169"/>
  <c r="I166" s="1"/>
  <c r="I164" s="1"/>
  <c r="I163" s="1"/>
  <c r="G166"/>
  <c r="G164" s="1"/>
  <c r="G163" s="1"/>
  <c r="H171"/>
  <c r="H170" s="1"/>
  <c r="G138"/>
  <c r="G136" s="1"/>
  <c r="G135" s="1"/>
  <c r="E135"/>
  <c r="E123"/>
  <c r="E122" s="1"/>
  <c r="F135"/>
  <c r="H138"/>
  <c r="H136" s="1"/>
  <c r="H135" s="1"/>
  <c r="I80"/>
  <c r="J80" s="1"/>
  <c r="F123"/>
  <c r="F122" s="1"/>
  <c r="E78"/>
  <c r="H129"/>
  <c r="G125"/>
  <c r="G123" s="1"/>
  <c r="G122" s="1"/>
  <c r="H125"/>
  <c r="F99"/>
  <c r="E99"/>
  <c r="I92"/>
  <c r="G111"/>
  <c r="G109" s="1"/>
  <c r="H106"/>
  <c r="H101"/>
  <c r="G101"/>
  <c r="F78"/>
  <c r="H89"/>
  <c r="H88" s="1"/>
  <c r="H80"/>
  <c r="G89"/>
  <c r="G88" s="1"/>
  <c r="G78" s="1"/>
  <c r="J117" l="1"/>
  <c r="K117" s="1"/>
  <c r="J31" i="14"/>
  <c r="J26" s="1"/>
  <c r="I206" i="9"/>
  <c r="J206" s="1"/>
  <c r="G75"/>
  <c r="T287"/>
  <c r="BP287" s="1"/>
  <c r="I135"/>
  <c r="J135" s="1"/>
  <c r="K135" s="1"/>
  <c r="I13" i="14"/>
  <c r="AF58" i="9"/>
  <c r="AF70"/>
  <c r="AF74" s="1"/>
  <c r="K286"/>
  <c r="K23" i="14"/>
  <c r="J262" i="9"/>
  <c r="I132"/>
  <c r="J153"/>
  <c r="K285"/>
  <c r="J282"/>
  <c r="J280" s="1"/>
  <c r="J279" s="1"/>
  <c r="I101"/>
  <c r="J101" s="1"/>
  <c r="J103"/>
  <c r="H262"/>
  <c r="H261" s="1"/>
  <c r="K266"/>
  <c r="I272"/>
  <c r="J274"/>
  <c r="I229"/>
  <c r="J235"/>
  <c r="I106"/>
  <c r="J106" s="1"/>
  <c r="J107"/>
  <c r="J143"/>
  <c r="K144"/>
  <c r="L16" i="14" s="1"/>
  <c r="L15" s="1"/>
  <c r="L10" i="2"/>
  <c r="M10"/>
  <c r="H111" i="9"/>
  <c r="H109" s="1"/>
  <c r="J22" i="14"/>
  <c r="I190" i="9"/>
  <c r="I267"/>
  <c r="I266" s="1"/>
  <c r="G266"/>
  <c r="G74" s="1"/>
  <c r="H15" i="14"/>
  <c r="H266" i="9"/>
  <c r="I15" i="14"/>
  <c r="H147" i="9"/>
  <c r="H132"/>
  <c r="H131" s="1"/>
  <c r="H123" s="1"/>
  <c r="H122" s="1"/>
  <c r="H164"/>
  <c r="H163" s="1"/>
  <c r="G147"/>
  <c r="E147"/>
  <c r="E141" s="1"/>
  <c r="F29" i="14" s="1"/>
  <c r="F147" i="9"/>
  <c r="F141" s="1"/>
  <c r="G30" i="14" s="1"/>
  <c r="G26" s="1"/>
  <c r="I147" i="9"/>
  <c r="F77"/>
  <c r="E77"/>
  <c r="I105"/>
  <c r="H104"/>
  <c r="H99" s="1"/>
  <c r="H78"/>
  <c r="G99"/>
  <c r="I89"/>
  <c r="I205" l="1"/>
  <c r="J205" s="1"/>
  <c r="K205" s="1"/>
  <c r="K282"/>
  <c r="K280" s="1"/>
  <c r="K279" s="1"/>
  <c r="AF75"/>
  <c r="J113"/>
  <c r="K113" s="1"/>
  <c r="AW70"/>
  <c r="AW74" s="1"/>
  <c r="J13" i="14"/>
  <c r="AW58" i="9"/>
  <c r="L23" i="14"/>
  <c r="L22" s="1"/>
  <c r="J134" i="9"/>
  <c r="J141"/>
  <c r="J140" s="1"/>
  <c r="I88"/>
  <c r="J89"/>
  <c r="I104"/>
  <c r="J105"/>
  <c r="J112"/>
  <c r="I228"/>
  <c r="J228" s="1"/>
  <c r="K228" s="1"/>
  <c r="J229"/>
  <c r="I271"/>
  <c r="J271" s="1"/>
  <c r="K271" s="1"/>
  <c r="J272"/>
  <c r="I131"/>
  <c r="J132"/>
  <c r="K22" i="14"/>
  <c r="K143" i="9"/>
  <c r="K141" s="1"/>
  <c r="I140"/>
  <c r="I73" s="1"/>
  <c r="I71" s="1"/>
  <c r="J147"/>
  <c r="K147" s="1"/>
  <c r="I111"/>
  <c r="I109" s="1"/>
  <c r="J15" i="14"/>
  <c r="G25"/>
  <c r="G11"/>
  <c r="G10" s="1"/>
  <c r="G5" s="1"/>
  <c r="F11"/>
  <c r="F26"/>
  <c r="F25" s="1"/>
  <c r="E140" i="9"/>
  <c r="F28" i="14" s="1"/>
  <c r="F140" i="9"/>
  <c r="F73" s="1"/>
  <c r="G140"/>
  <c r="T286" s="1"/>
  <c r="BP286" s="1"/>
  <c r="H11" i="14"/>
  <c r="H10" s="1"/>
  <c r="H77" i="9"/>
  <c r="G77"/>
  <c r="T285" s="1"/>
  <c r="J73" l="1"/>
  <c r="J71" s="1"/>
  <c r="H5" i="14"/>
  <c r="O67" i="9" s="1"/>
  <c r="O68" s="1"/>
  <c r="AW75"/>
  <c r="K32" i="14"/>
  <c r="G73" i="9"/>
  <c r="G71" s="1"/>
  <c r="K13" i="14"/>
  <c r="BN58" i="9"/>
  <c r="K114"/>
  <c r="I47" i="2" s="1"/>
  <c r="K112" i="9"/>
  <c r="I99"/>
  <c r="J99" s="1"/>
  <c r="J104"/>
  <c r="I78"/>
  <c r="J78" s="1"/>
  <c r="J88"/>
  <c r="J131"/>
  <c r="I123"/>
  <c r="K140"/>
  <c r="K73" s="1"/>
  <c r="K71" s="1"/>
  <c r="J25" i="14"/>
  <c r="J11"/>
  <c r="J10" s="1"/>
  <c r="J5" s="1"/>
  <c r="E73" i="9"/>
  <c r="E71" s="1"/>
  <c r="I11" i="14"/>
  <c r="I10" s="1"/>
  <c r="I5" s="1"/>
  <c r="AX5" s="1"/>
  <c r="I25"/>
  <c r="F71" i="9"/>
  <c r="J111"/>
  <c r="J109" s="1"/>
  <c r="F10" i="14"/>
  <c r="F5" s="1"/>
  <c r="H140" i="9"/>
  <c r="H73" s="1"/>
  <c r="W5" i="14" l="1"/>
  <c r="K26"/>
  <c r="K25" s="1"/>
  <c r="L33"/>
  <c r="L26" s="1"/>
  <c r="L25" s="1"/>
  <c r="AF67" i="9"/>
  <c r="AF68" s="1"/>
  <c r="AW67"/>
  <c r="AW68" s="1"/>
  <c r="BP285"/>
  <c r="T289"/>
  <c r="L13" i="14"/>
  <c r="H71" i="9"/>
  <c r="I77"/>
  <c r="K111"/>
  <c r="K109" s="1"/>
  <c r="I122"/>
  <c r="J123"/>
  <c r="K11" i="14"/>
  <c r="K10" s="1"/>
  <c r="K5" l="1"/>
  <c r="L11"/>
  <c r="L10" s="1"/>
  <c r="L5" s="1"/>
  <c r="J77" i="9"/>
  <c r="K77" s="1"/>
  <c r="J122"/>
  <c r="K122" s="1"/>
  <c r="J58"/>
  <c r="K58" s="1"/>
  <c r="J56"/>
  <c r="K56" s="1"/>
  <c r="J16"/>
  <c r="K16" s="1"/>
  <c r="J18"/>
  <c r="K18" s="1"/>
  <c r="J19"/>
  <c r="K19" s="1"/>
  <c r="J20"/>
  <c r="K20" s="1"/>
  <c r="J21"/>
  <c r="K21" s="1"/>
  <c r="BN67" l="1"/>
  <c r="BN68" s="1"/>
  <c r="J57"/>
  <c r="K57" s="1"/>
  <c r="K49" s="1"/>
  <c r="E14"/>
  <c r="F5"/>
  <c r="G15"/>
  <c r="M16" s="1"/>
  <c r="H49"/>
  <c r="I49"/>
  <c r="I15" s="1"/>
  <c r="J49"/>
  <c r="J15" s="1"/>
  <c r="E49"/>
  <c r="E15" s="1"/>
  <c r="F10"/>
  <c r="G10"/>
  <c r="H10"/>
  <c r="H5"/>
  <c r="I5"/>
  <c r="J5"/>
  <c r="BG16" l="1"/>
  <c r="K15"/>
  <c r="CD16"/>
  <c r="H15"/>
  <c r="AJ16" s="1"/>
  <c r="E10"/>
  <c r="E5"/>
</calcChain>
</file>

<file path=xl/sharedStrings.xml><?xml version="1.0" encoding="utf-8"?>
<sst xmlns="http://schemas.openxmlformats.org/spreadsheetml/2006/main" count="864" uniqueCount="358">
  <si>
    <t>Наименование показателя</t>
  </si>
  <si>
    <t>Код строки</t>
  </si>
  <si>
    <t>в том числе:</t>
  </si>
  <si>
    <t>х</t>
  </si>
  <si>
    <t>Год начала закупки</t>
  </si>
  <si>
    <t>УТВЕРЖДАЮ</t>
  </si>
  <si>
    <t>(подпись)</t>
  </si>
  <si>
    <t>Форма по ОКУД</t>
  </si>
  <si>
    <t>Дата</t>
  </si>
  <si>
    <t>Глава по БК</t>
  </si>
  <si>
    <t>по ОКЕИ</t>
  </si>
  <si>
    <t>(расшифровка подписи)</t>
  </si>
  <si>
    <t>КОДЫ</t>
  </si>
  <si>
    <t>ИНН</t>
  </si>
  <si>
    <t>КПП</t>
  </si>
  <si>
    <t>(наименование должности лица, утверждающего документ)</t>
  </si>
  <si>
    <t>"</t>
  </si>
  <si>
    <t xml:space="preserve"> г.</t>
  </si>
  <si>
    <t>План финансово-хозяйственной деятельности</t>
  </si>
  <si>
    <t>383</t>
  </si>
  <si>
    <t>Адрес фактического местонахождения учреждения (подразделения)</t>
  </si>
  <si>
    <t>Юридический адрес учреждения (подразделения)</t>
  </si>
  <si>
    <t>чел.</t>
  </si>
  <si>
    <t>тыс. руб.</t>
  </si>
  <si>
    <t>руб.</t>
  </si>
  <si>
    <t>%</t>
  </si>
  <si>
    <t>м²</t>
  </si>
  <si>
    <t>1.1. Фонд оплаты труда, всего</t>
  </si>
  <si>
    <t>в том числе по категориям работников:</t>
  </si>
  <si>
    <t>2.1.1. Площадь недвижимого имущества в безвозмездном пользовании, всего</t>
  </si>
  <si>
    <t>2.1.3. Площадь недвижимого имущества, переданная в аренду</t>
  </si>
  <si>
    <t>ед.</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</si>
  <si>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</si>
  <si>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</si>
  <si>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</si>
  <si>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 xml:space="preserve"> 1.7. Средняя заработная плата, сложившаяся/прогнозируемая в отчетном периоде</t>
  </si>
  <si>
    <t>из них: выплаты стимулирующего характера</t>
  </si>
  <si>
    <t>Наименование мероприятия</t>
  </si>
  <si>
    <t>Сроки проведения</t>
  </si>
  <si>
    <t>Итого:</t>
  </si>
  <si>
    <t>Ожидаемый результат реализации</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</si>
  <si>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</si>
  <si>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</si>
  <si>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</si>
  <si>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в том числе по категориям работников, повышение оплаты труда которых предусмотрено указами Президента РФ</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</si>
  <si>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</si>
  <si>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2.1.2. Площадь недвижимого имущества в безвозмездном пользовании, не используемая для выполнения государственного задания</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</si>
  <si>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</si>
  <si>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2. Повышение эффективности управления муниципальной собственностью</t>
  </si>
  <si>
    <t>3. Повышение качества предоставления муниципальных услуг</t>
  </si>
  <si>
    <t xml:space="preserve">1. Сведения об уровне оплаты труда работников учреждения </t>
  </si>
  <si>
    <t xml:space="preserve">1.3.2. Среднесписочная численность прочих работников учреждения </t>
  </si>
  <si>
    <t>1.4.1. Среднесписочная численность руководителей учреждения  и их заместителей, с которыми заключены эффективные контракты</t>
  </si>
  <si>
    <t>1.4.2. Среднесписочная численность прочих работников учреждения , с которыми заключены эффективные контракты</t>
  </si>
  <si>
    <t xml:space="preserve">2.2. Затраты на содержание имущества учреждения </t>
  </si>
  <si>
    <t xml:space="preserve">1. Повышение эффективности управления и кадрового потенциала учреждения </t>
  </si>
  <si>
    <t xml:space="preserve">Орган, осуществляющего функции и полномочия учредителя </t>
  </si>
  <si>
    <t>по Сводному реестру</t>
  </si>
  <si>
    <t>Учреждение</t>
  </si>
  <si>
    <t>Раздел 1. Поступления и выплаты</t>
  </si>
  <si>
    <t>x</t>
  </si>
  <si>
    <t>средства областного бюджета</t>
  </si>
  <si>
    <t>внебюджетные источники</t>
  </si>
  <si>
    <t>Доходы, всего:</t>
  </si>
  <si>
    <t xml:space="preserve">в том числе: </t>
  </si>
  <si>
    <r>
      <t>из них</t>
    </r>
    <r>
      <rPr>
        <vertAlign val="superscript"/>
        <sz val="12"/>
        <color theme="1"/>
        <rFont val="Times New Roman"/>
        <family val="1"/>
        <charset val="204"/>
      </rPr>
      <t>5</t>
    </r>
    <r>
      <rPr>
        <sz val="12"/>
        <color theme="1"/>
        <rFont val="Times New Roman"/>
        <family val="1"/>
        <charset val="204"/>
      </rPr>
      <t>:</t>
    </r>
  </si>
  <si>
    <t>доходы от штрафов, пеней, иных сумм принудительного изъятия, всего</t>
  </si>
  <si>
    <t>безвозмездные денежные поступления, всего</t>
  </si>
  <si>
    <t>прочие доходы, всего</t>
  </si>
  <si>
    <t>Расходы, всего</t>
  </si>
  <si>
    <t>за счет средств областного бюджета</t>
  </si>
  <si>
    <t>прочие выплаты персоналу, в том числе компенсационного характера</t>
  </si>
  <si>
    <t>взносы по обязательному социальному страхованию на выплаты по оплате труда работников и иные выплаты работникам учреждений, всего</t>
  </si>
  <si>
    <t>социальные и иные выплаты населению, всего</t>
  </si>
  <si>
    <t>уплата налогов, сборов и иных платежей, всего</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</si>
  <si>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</si>
  <si>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</si>
  <si>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прочую закупку товаров, работ и услуг, всего</t>
  </si>
  <si>
    <t>налог на добавленную стоимость</t>
  </si>
  <si>
    <t xml:space="preserve">прочие налоги, уменьшающие доход </t>
  </si>
  <si>
    <r>
      <t xml:space="preserve">по </t>
    </r>
    <r>
      <rPr>
        <sz val="12"/>
        <rFont val="Times New Roman"/>
        <family val="1"/>
        <charset val="204"/>
      </rPr>
      <t>строкам 1100</t>
    </r>
    <r>
      <rPr>
        <sz val="12"/>
        <color theme="1"/>
        <rFont val="Times New Roman"/>
        <family val="1"/>
        <charset val="204"/>
      </rPr>
      <t xml:space="preserve"> - </t>
    </r>
    <r>
      <rPr>
        <sz val="12"/>
        <rFont val="Times New Roman"/>
        <family val="1"/>
        <charset val="204"/>
      </rPr>
      <t>1900</t>
    </r>
    <r>
      <rPr>
        <sz val="12"/>
        <color theme="1"/>
        <rFont val="Times New Roman"/>
        <family val="1"/>
        <charset val="204"/>
      </rPr>
      <t xml:space="preserve"> - коды аналитической группы подвида доходов бюджетов классификации доходов бюджетов;</t>
    </r>
  </si>
  <si>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</si>
  <si>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r>
      <t xml:space="preserve">по </t>
    </r>
    <r>
      <rPr>
        <sz val="12"/>
        <rFont val="Times New Roman"/>
        <family val="1"/>
        <charset val="204"/>
      </rPr>
      <t>строкам 2000</t>
    </r>
    <r>
      <rPr>
        <sz val="12"/>
        <color theme="1"/>
        <rFont val="Times New Roman"/>
        <family val="1"/>
        <charset val="204"/>
      </rPr>
      <t xml:space="preserve"> - </t>
    </r>
    <r>
      <rPr>
        <sz val="12"/>
        <rFont val="Times New Roman"/>
        <family val="1"/>
        <charset val="204"/>
      </rPr>
      <t>2652</t>
    </r>
    <r>
      <rPr>
        <sz val="12"/>
        <color theme="1"/>
        <rFont val="Times New Roman"/>
        <family val="1"/>
        <charset val="204"/>
      </rPr>
      <t xml:space="preserve"> - коды видов расходов бюджетов классификации расходов бюджетов;</t>
    </r>
  </si>
  <si>
    <r>
      <t xml:space="preserve">по </t>
    </r>
    <r>
      <rPr>
        <sz val="12"/>
        <rFont val="Times New Roman"/>
        <family val="1"/>
        <charset val="204"/>
      </rPr>
      <t>строкам 3000</t>
    </r>
    <r>
      <rPr>
        <sz val="12"/>
        <color theme="1"/>
        <rFont val="Times New Roman"/>
        <family val="1"/>
        <charset val="204"/>
      </rPr>
      <t xml:space="preserve"> - </t>
    </r>
    <r>
      <rPr>
        <sz val="12"/>
        <rFont val="Times New Roman"/>
        <family val="1"/>
        <charset val="204"/>
      </rPr>
      <t>3030</t>
    </r>
    <r>
      <rPr>
        <sz val="12"/>
        <color theme="1"/>
        <rFont val="Times New Roman"/>
        <family val="1"/>
        <charset val="204"/>
      </rPr>
      <t xml:space="preserve">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</si>
  <si>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</si>
  <si>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t>(3)</t>
    </r>
    <r>
      <rPr>
        <sz val="12"/>
        <color theme="1"/>
        <rFont val="Times New Roman"/>
        <family val="1"/>
        <charset val="204"/>
      </rPr>
      <t xml:space="preserve">В </t>
    </r>
    <r>
      <rPr>
        <sz val="12"/>
        <rFont val="Times New Roman"/>
        <family val="1"/>
        <charset val="204"/>
      </rPr>
      <t>графе 4</t>
    </r>
    <r>
      <rPr>
        <sz val="12"/>
        <color theme="1"/>
        <rFont val="Times New Roman"/>
        <family val="1"/>
        <charset val="204"/>
      </rPr>
      <t xml:space="preserve"> указывается код классификации операций сектора государственного управления в соответствии с </t>
    </r>
    <r>
      <rPr>
        <sz val="12"/>
        <rFont val="Times New Roman"/>
        <family val="1"/>
        <charset val="204"/>
      </rPr>
      <t>Порядком</t>
    </r>
    <r>
      <rPr>
        <sz val="12"/>
        <color theme="1"/>
        <rFont val="Times New Roman"/>
        <family val="1"/>
        <charset val="204"/>
      </rPr>
      <t xml:space="preserve">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осуществляющего функции и полномочия учредителя предусмотрена указанная детализация.</t>
    </r>
  </si>
  <si>
    <r>
      <t>(4)</t>
    </r>
    <r>
      <rPr>
        <sz val="12"/>
        <color theme="1"/>
        <rFont val="Times New Roman"/>
        <family val="1"/>
        <charset val="204"/>
      </rPr>
      <t xml:space="preserve"> По </t>
    </r>
    <r>
      <rPr>
        <sz val="12"/>
        <rFont val="Times New Roman"/>
        <family val="1"/>
        <charset val="204"/>
      </rPr>
      <t>строкам 0001</t>
    </r>
    <r>
      <rPr>
        <sz val="12"/>
        <color theme="1"/>
        <rFont val="Times New Roman"/>
        <family val="1"/>
        <charset val="204"/>
      </rPr>
      <t xml:space="preserve"> и </t>
    </r>
    <r>
      <rPr>
        <sz val="12"/>
        <rFont val="Times New Roman"/>
        <family val="1"/>
        <charset val="204"/>
      </rPr>
      <t>0002</t>
    </r>
    <r>
      <rPr>
        <sz val="12"/>
        <color theme="1"/>
        <rFont val="Times New Roman"/>
        <family val="1"/>
        <charset val="204"/>
      </rPr>
      <t xml:space="preserve">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</si>
  <si>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2"/>
        <color theme="1"/>
        <rFont val="Times New Roman"/>
        <family val="1"/>
        <charset val="204"/>
      </rPr>
      <t>(6)</t>
    </r>
    <r>
      <rPr>
        <sz val="12"/>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t>
    </r>
  </si>
  <si>
    <r>
      <t>(7)</t>
    </r>
    <r>
      <rPr>
        <sz val="12"/>
        <color theme="1"/>
        <rFont val="Times New Roman"/>
        <family val="1"/>
        <charset val="204"/>
      </rPr>
      <t xml:space="preserve"> Показатели выплат по расходам на закупки товаров, работ, услуг, отраженные в </t>
    </r>
    <r>
      <rPr>
        <sz val="12"/>
        <rFont val="Times New Roman"/>
        <family val="1"/>
        <charset val="204"/>
      </rPr>
      <t>строке 2600 Раздела 1</t>
    </r>
    <r>
      <rPr>
        <sz val="12"/>
        <color theme="1"/>
        <rFont val="Times New Roman"/>
        <family val="1"/>
        <charset val="204"/>
      </rPr>
      <t xml:space="preserve"> «Поступления и выплаты» Плана, подлежат детализации в </t>
    </r>
    <r>
      <rPr>
        <sz val="12"/>
        <rFont val="Times New Roman"/>
        <family val="1"/>
        <charset val="204"/>
      </rPr>
      <t>Разделе 2</t>
    </r>
    <r>
      <rPr>
        <sz val="12"/>
        <color theme="1"/>
        <rFont val="Times New Roman"/>
        <family val="1"/>
        <charset val="204"/>
      </rPr>
      <t xml:space="preserve"> «Сведения по выплатам на закупку товаров, работ, услуг» Плана.</t>
    </r>
  </si>
  <si>
    <r>
      <t>(2)</t>
    </r>
    <r>
      <rPr>
        <sz val="12"/>
        <color theme="1"/>
        <rFont val="Times New Roman"/>
        <family val="1"/>
        <charset val="204"/>
      </rPr>
      <t xml:space="preserve"> В </t>
    </r>
    <r>
      <rPr>
        <sz val="12"/>
        <rFont val="Times New Roman"/>
        <family val="1"/>
        <charset val="204"/>
      </rPr>
      <t>графе 3</t>
    </r>
    <r>
      <rPr>
        <sz val="12"/>
        <color theme="1"/>
        <rFont val="Times New Roman"/>
        <family val="1"/>
        <charset val="204"/>
      </rPr>
      <t xml:space="preserve"> отражаются:</t>
    </r>
  </si>
  <si>
    <r>
      <rPr>
        <vertAlign val="superscript"/>
        <sz val="12"/>
        <color theme="1"/>
        <rFont val="Times New Roman"/>
        <family val="1"/>
        <charset val="204"/>
      </rPr>
      <t>(8)</t>
    </r>
    <r>
      <rPr>
        <sz val="12"/>
        <color theme="1"/>
        <rFont val="Times New Roman"/>
        <family val="1"/>
        <charset val="204"/>
      </rPr>
      <t xml:space="preserve"> Показатель отражается со знаком «минус».</t>
    </r>
  </si>
  <si>
    <t xml:space="preserve"> 0001</t>
  </si>
  <si>
    <t xml:space="preserve"> 0002</t>
  </si>
  <si>
    <t>доходы от оказания услуг, работ, компенсации затрат учреждений, всего</t>
  </si>
  <si>
    <t>субсидии на финансовое обеспечение выполнения муниципального задания за счет средств бюджета Федерального фонда обязательного медицинского страхования</t>
  </si>
  <si>
    <t xml:space="preserve"> в том числе:                                         целевые субсидии</t>
  </si>
  <si>
    <t>субсидии на осуществление   капитальных вложений</t>
  </si>
  <si>
    <t>доходы от операций с   активами, всего</t>
  </si>
  <si>
    <t>из них:                                                 увеличение остатков денежных средств за счет возврата дебиторской задолженности прошлых лет</t>
  </si>
  <si>
    <t>в том числе:                                                  на выплаты персоналу, всего</t>
  </si>
  <si>
    <t>в том числе:                                         оплата труда</t>
  </si>
  <si>
    <t xml:space="preserve">в том числе:                                              на выплаты по оплате труда                                   </t>
  </si>
  <si>
    <r>
      <t>из них</t>
    </r>
    <r>
      <rPr>
        <vertAlign val="superscript"/>
        <sz val="12"/>
        <rFont val="Times New Roman"/>
        <family val="1"/>
        <charset val="204"/>
      </rPr>
      <t>5</t>
    </r>
    <r>
      <rPr>
        <sz val="12"/>
        <rFont val="Times New Roman"/>
        <family val="1"/>
        <charset val="204"/>
      </rPr>
      <t>:</t>
    </r>
  </si>
  <si>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</si>
  <si>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</si>
  <si>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в том числе: налог на имущество организаций и земельный налог</t>
  </si>
  <si>
    <t>в том числе:                                          налог на прибыль</t>
  </si>
  <si>
    <t>из них:                                                           возврат в бюджет средств субсидии</t>
  </si>
  <si>
    <t xml:space="preserve"> в том числе: в том числе:                                          за счет средств местного бюджета</t>
  </si>
  <si>
    <r>
      <rPr>
        <vertAlign val="superscript"/>
        <sz val="12"/>
        <color theme="1"/>
        <rFont val="Times New Roman"/>
        <family val="1"/>
        <charset val="204"/>
      </rPr>
      <t>(9)</t>
    </r>
    <r>
      <rPr>
        <sz val="12"/>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t>
    </r>
  </si>
  <si>
    <r>
      <rPr>
        <vertAlign val="superscript"/>
        <sz val="12"/>
        <rFont val="Times New Roman"/>
        <family val="1"/>
        <charset val="204"/>
      </rPr>
      <t>(5)</t>
    </r>
    <r>
      <rPr>
        <sz val="12"/>
        <rFont val="Times New Roman"/>
        <family val="1"/>
        <charset val="204"/>
      </rPr>
      <t>Здесь  и далее указываются соответствующие источники финансирования (средства местного бюджета, средства областного бюджета,  внебюджетные источники)</t>
    </r>
  </si>
  <si>
    <t>в том числе:                                          средства местного бюджета</t>
  </si>
  <si>
    <t xml:space="preserve"> в том числе:                                                 доходы от собственности, всего</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</si>
  <si>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</si>
  <si>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средства местного бюджета</t>
  </si>
  <si>
    <t xml:space="preserve">Раздел 2. Сведения по выплатам на закупки товаров,
работ, услуг
</t>
  </si>
  <si>
    <t>за счет субсидий, предоставляемых в соответствии с абзацем вторым 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</si>
  <si>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</si>
  <si>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</si>
  <si>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</si>
  <si>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</si>
  <si>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№п/п</t>
  </si>
  <si>
    <t>1.1.</t>
  </si>
  <si>
    <t>1.2.</t>
  </si>
  <si>
    <t>1.3.</t>
  </si>
  <si>
    <t>1.4.</t>
  </si>
  <si>
    <t>1.4.1.</t>
  </si>
  <si>
    <t>1.4.1.1.</t>
  </si>
  <si>
    <t>1.4.1.2.</t>
  </si>
  <si>
    <t>1.4.2.</t>
  </si>
  <si>
    <t>1.4.2.1.</t>
  </si>
  <si>
    <t xml:space="preserve">в том числе:
в соответствии с Федеральным законом   № 44-ФЗ
</t>
  </si>
  <si>
    <t>1.4.2.2.</t>
  </si>
  <si>
    <t>1.4.5.</t>
  </si>
  <si>
    <t>1.4.3.</t>
  </si>
  <si>
    <t>1.4.4.</t>
  </si>
  <si>
    <t xml:space="preserve">в том числе:
в соответствии с Федеральным законом              № 44-ФЗ
</t>
  </si>
  <si>
    <t>1.4.4.1.</t>
  </si>
  <si>
    <t>1.4.4.2.</t>
  </si>
  <si>
    <t>1.4.5.1.</t>
  </si>
  <si>
    <t>1.4.5.2.</t>
  </si>
  <si>
    <t>в соответствии с Федеральным законом               № 223-ФЗ</t>
  </si>
  <si>
    <t>2.</t>
  </si>
  <si>
    <t>3.</t>
  </si>
  <si>
    <r>
      <t>10</t>
    </r>
    <r>
      <rPr>
        <sz val="12"/>
        <color theme="1"/>
        <rFont val="Calibri"/>
        <family val="2"/>
        <charset val="204"/>
        <scheme val="minor"/>
      </rPr>
      <t xml:space="preserve"> </t>
    </r>
    <r>
      <rPr>
        <sz val="12"/>
        <color theme="1"/>
        <rFont val="Times New Roman"/>
        <family val="1"/>
        <charset val="204"/>
      </rPr>
      <t xml:space="preserve">Плановые показатели выплат на закупку товаров, работ, услуг по </t>
    </r>
    <r>
      <rPr>
        <sz val="12"/>
        <rFont val="Times New Roman"/>
        <family val="1"/>
        <charset val="204"/>
      </rPr>
      <t>строке 26000 Раздела 2</t>
    </r>
    <r>
      <rPr>
        <sz val="12"/>
        <color theme="1"/>
        <rFont val="Times New Roman"/>
        <family val="1"/>
        <charset val="204"/>
      </rPr>
      <t xml:space="preserve">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t>
    </r>
    <r>
      <rPr>
        <sz val="12"/>
        <rFont val="Times New Roman"/>
        <family val="1"/>
        <charset val="204"/>
      </rPr>
      <t>строки 26100</t>
    </r>
    <r>
      <rPr>
        <sz val="12"/>
        <color theme="1"/>
        <rFont val="Times New Roman"/>
        <family val="1"/>
        <charset val="204"/>
      </rPr>
      <t xml:space="preserve"> и </t>
    </r>
    <r>
      <rPr>
        <sz val="12"/>
        <rFont val="Times New Roman"/>
        <family val="1"/>
        <charset val="204"/>
      </rPr>
      <t>26200</t>
    </r>
    <r>
      <rPr>
        <sz val="12"/>
        <color theme="1"/>
        <rFont val="Times New Roman"/>
        <family val="1"/>
        <charset val="204"/>
      </rPr>
      <t xml:space="preserve">),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t>
    </r>
    <r>
      <rPr>
        <sz val="12"/>
        <rFont val="Times New Roman"/>
        <family val="1"/>
        <charset val="204"/>
      </rPr>
      <t>(строка 26300)</t>
    </r>
    <r>
      <rPr>
        <sz val="12"/>
        <color theme="1"/>
        <rFont val="Times New Roman"/>
        <family val="1"/>
        <charset val="204"/>
      </rPr>
      <t xml:space="preserve"> и планируемым к заключению в соответствующем финансовом году </t>
    </r>
    <r>
      <rPr>
        <sz val="12"/>
        <rFont val="Times New Roman"/>
        <family val="1"/>
        <charset val="204"/>
      </rPr>
      <t>(строка 26400)</t>
    </r>
    <r>
      <rPr>
        <sz val="12"/>
        <color theme="1"/>
        <rFont val="Times New Roman"/>
        <family val="1"/>
        <charset val="204"/>
      </rPr>
      <t xml:space="preserve"> и должны соответствовать показателям соответствующих граф по </t>
    </r>
    <r>
      <rPr>
        <sz val="12"/>
        <rFont val="Times New Roman"/>
        <family val="1"/>
        <charset val="204"/>
      </rPr>
      <t>строке 2600 Раздела 1</t>
    </r>
    <r>
      <rPr>
        <sz val="12"/>
        <color theme="1"/>
        <rFont val="Times New Roman"/>
        <family val="1"/>
        <charset val="204"/>
      </rPr>
      <t xml:space="preserve"> «Поступления и выплаты» Плана.</t>
    </r>
  </si>
  <si>
    <r>
      <rPr>
        <vertAlign val="superscript"/>
        <sz val="12"/>
        <rFont val="Times New Roman"/>
        <family val="1"/>
        <charset val="204"/>
      </rPr>
      <t>11</t>
    </r>
    <r>
      <rPr>
        <sz val="12"/>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</si>
  <si>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2"/>
        <rFont val="Times New Roman"/>
        <family val="1"/>
        <charset val="204"/>
      </rPr>
      <t>12</t>
    </r>
    <r>
      <rPr>
        <sz val="12"/>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</si>
  <si>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2"/>
        <rFont val="Times New Roman"/>
        <family val="1"/>
        <charset val="204"/>
      </rPr>
      <t>13</t>
    </r>
    <r>
      <rPr>
        <sz val="12"/>
        <rFont val="Times New Roman"/>
        <family val="1"/>
        <charset val="204"/>
      </rPr>
      <t>Муниципальным бюджетным учреждением показатель не формируется.</t>
    </r>
  </si>
  <si>
    <r>
      <rPr>
        <vertAlign val="superscript"/>
        <sz val="12"/>
        <rFont val="Times New Roman"/>
        <family val="1"/>
        <charset val="204"/>
      </rPr>
      <t>14</t>
    </r>
    <r>
      <rPr>
        <sz val="12"/>
        <rFont val="Times New Roman"/>
        <family val="1"/>
        <charset val="204"/>
      </rPr>
      <t>Указывается сумма закупок товаров, работ, услуг, осуществляемых в соответствии с Федеральным законом № 44-ФЗ.</t>
    </r>
  </si>
  <si>
    <r>
      <rPr>
        <vertAlign val="superscript"/>
        <sz val="12"/>
        <rFont val="Times New Roman"/>
        <family val="1"/>
        <charset val="204"/>
      </rPr>
      <t>15</t>
    </r>
    <r>
      <rPr>
        <sz val="12"/>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</si>
  <si>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 xml:space="preserve">Раздел 3. Сведения и показатели об использования ресурсов учреждения </t>
  </si>
  <si>
    <t>отчетный финансовый год</t>
  </si>
  <si>
    <t>текущий финансовый год</t>
  </si>
  <si>
    <t>очередной финансовый год</t>
  </si>
  <si>
    <t>1-й год планового периода</t>
  </si>
  <si>
    <t>2-й год планового периода</t>
  </si>
  <si>
    <t>1.1.1.Фонд оплаты труда руководителей учреждения  и их заместителей</t>
  </si>
  <si>
    <t>1.1.2. Фонд оплаты труда прочих работников учреждения</t>
  </si>
  <si>
    <t>1.3. Среднесписочная численность работников учреждения</t>
  </si>
  <si>
    <t>1.3.1. Среднесписочная численность руководителей учреждения   и их заместителей</t>
  </si>
  <si>
    <t>1.4. Среднесписочная численность работников учреждения,  с которыми заключены эффективные контракты</t>
  </si>
  <si>
    <t xml:space="preserve">1.8. Отношение средней заработной платы руководителей учреждения  и их заместителей к средней заработной плате работников учреждения </t>
  </si>
  <si>
    <t xml:space="preserve">2. Сведения об использовании имущества учреждения </t>
  </si>
  <si>
    <t xml:space="preserve">2.1. Общая площадь объектов недвижимого имущества, закрепленная за  учреждением </t>
  </si>
  <si>
    <t>2.2.1. Затраты на содержание имущества учреждения, не используемого для выполнения муниципального задания</t>
  </si>
  <si>
    <t xml:space="preserve">Раздел 4. Перечень мероприятий по повышению эффективности
деятельности учреждения
</t>
  </si>
  <si>
    <t>Затраты, необходимые на проведение мероприятия, тыс. руб.</t>
  </si>
  <si>
    <t>(наименование должности уполномоченного лица органа, осуществляющего функции и полномочия учредителя)</t>
  </si>
  <si>
    <t xml:space="preserve">4. Направления оптимизации расходов учреждения </t>
  </si>
  <si>
    <t>в том числе:                                                       за счет субсидий, предоставляемых на финансовое обеспечение выполнения муниципального задания</t>
  </si>
  <si>
    <t>в том числе:                                                         с Федеральным Законом 44-ФЗ</t>
  </si>
  <si>
    <t>914</t>
  </si>
  <si>
    <t>511001001</t>
  </si>
  <si>
    <t>Администрация ЗАТО Видяево</t>
  </si>
  <si>
    <t>на 2019 г. отчетный финансовый год</t>
  </si>
  <si>
    <t>на 2020 г. текущий финансовый год</t>
  </si>
  <si>
    <t>средства местного бюджета</t>
  </si>
  <si>
    <t>914 0701 7010100050 611</t>
  </si>
  <si>
    <t>914 0701 7010175310 611</t>
  </si>
  <si>
    <t>914 0701 70101S1100 611</t>
  </si>
  <si>
    <t>914 0701 7010171100 611</t>
  </si>
  <si>
    <t>914 0709 7010420220 612</t>
  </si>
  <si>
    <t>000 0000 0000000000 000</t>
  </si>
  <si>
    <t>914 0709 7010520240 612</t>
  </si>
  <si>
    <t>914 1004 7010175360 612</t>
  </si>
  <si>
    <t>914 1004 7010175370 612</t>
  </si>
  <si>
    <t xml:space="preserve">Единица измерения: </t>
  </si>
  <si>
    <t>Сумма, рублей</t>
  </si>
  <si>
    <t>47336001</t>
  </si>
  <si>
    <t>из них:</t>
  </si>
  <si>
    <t>заработная плата</t>
  </si>
  <si>
    <t>начисления на выплаты по оплате труда</t>
  </si>
  <si>
    <t>социальные пособия и компенсации персоналу в денежной форме</t>
  </si>
  <si>
    <t>прочие работы, услуги</t>
  </si>
  <si>
    <t>пособия по социальной помощи , выплачиваемые работодателями, нанимателями бывшим работникам в натуральной форме</t>
  </si>
  <si>
    <t>налоги, пошлины и сборы</t>
  </si>
  <si>
    <t>штрафы за нарушение законодательства о налогах и сборах, законодательства о страховых взносах</t>
  </si>
  <si>
    <t>штрафы за нарушение законодательства о закупках и нарушение условий контрактов (договоров)</t>
  </si>
  <si>
    <t>услуги связи</t>
  </si>
  <si>
    <t>работы, услуги по содержанию имущества</t>
  </si>
  <si>
    <t>увеличение стоимости основных средств</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</si>
  <si>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</si>
  <si>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</si>
  <si>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строительных материалов</t>
  </si>
  <si>
    <t>увеличение стоимости мягкого инвентаря</t>
  </si>
  <si>
    <t>увеличение стоимости прочих оборотных запасов (материалов)</t>
  </si>
  <si>
    <t>транспортные услуги</t>
  </si>
  <si>
    <t>прочие несоциальные выплаты персоналу в натуральной форме</t>
  </si>
  <si>
    <t>коммунальные услуги</t>
  </si>
  <si>
    <t>пособия по социальной помощи населению в денежной форме</t>
  </si>
  <si>
    <t>на закупку товаров, работ и услуг по году начала закупки</t>
  </si>
  <si>
    <t>за 2019г.</t>
  </si>
  <si>
    <t>за 2020г.</t>
  </si>
  <si>
    <t>3-й год планового периода</t>
  </si>
  <si>
    <t>педагогические работники</t>
  </si>
  <si>
    <t>из них: воспитатели</t>
  </si>
  <si>
    <t>473Ч2304</t>
  </si>
  <si>
    <t>5105031580</t>
  </si>
  <si>
    <t>Муниципальное бюджетное дошкольное образовательное учреждение ЗАТО Видяево "Детский сад №2 "Ёлочка"</t>
  </si>
  <si>
    <t>184372, Мурманская область, ЗАТО Видяево, улица Заречная, дом 9</t>
  </si>
  <si>
    <t>Корпус №1: 184372, Мурманская область, ЗАТО Видяево, улица Заречная, дом 9                                                                                                             Корпус №1: 184372, Мурманская область, ЗАТО Видяево, улица Заречная, дом 40, помещение 39</t>
  </si>
  <si>
    <t>увеличение стоимости медикаментов</t>
  </si>
  <si>
    <t xml:space="preserve"> 914 0701 7010100050 611 </t>
  </si>
  <si>
    <t xml:space="preserve"> 914 0701 70101S1100 611 </t>
  </si>
  <si>
    <t xml:space="preserve"> 914 0701 7010175310 611 </t>
  </si>
  <si>
    <t xml:space="preserve"> 914 0701 7010171100 611 </t>
  </si>
  <si>
    <t xml:space="preserve"> 914 0701 7010171100 611</t>
  </si>
  <si>
    <t>профессиональная  подготовка сотрудников, наличие новых знаний позволит более эффективно и успешно предоставлять образовательные услуги</t>
  </si>
  <si>
    <t>Прочие выплаты, всего</t>
  </si>
  <si>
    <t>Выплаты, уменьшающие доход, всего</t>
  </si>
  <si>
    <r>
      <t>из них</t>
    </r>
    <r>
      <rPr>
        <sz val="12"/>
        <color theme="1"/>
        <rFont val="Times New Roman"/>
        <family val="1"/>
        <charset val="204"/>
      </rPr>
      <t>:</t>
    </r>
  </si>
  <si>
    <t>расходы на закупку товаров, работ, услуг, всего</t>
  </si>
  <si>
    <t xml:space="preserve">000 0000 0000000000 000 </t>
  </si>
  <si>
    <t xml:space="preserve"> 914 1004 7010175370 612 </t>
  </si>
  <si>
    <t xml:space="preserve"> 914 1004 7010175360 612 </t>
  </si>
  <si>
    <t xml:space="preserve"> 914 0709 7010520240 612 </t>
  </si>
  <si>
    <t xml:space="preserve"> 914 0709 7010420220 612 </t>
  </si>
  <si>
    <t>прочие поступления, всего</t>
  </si>
  <si>
    <t>Остаток средств на конец текущего финансового года</t>
  </si>
  <si>
    <t>Остаток средств на начало текущего финансового года</t>
  </si>
  <si>
    <t>Код по БК РФ</t>
  </si>
  <si>
    <t>Аналити-ческий код</t>
  </si>
  <si>
    <r>
      <t xml:space="preserve">Итого по контрактам, планируемым к заключению в соответствующем финансовом году в соответствии с Федеральным </t>
    </r>
    <r>
      <rPr>
        <b/>
        <sz val="12"/>
        <rFont val="Times New Roman"/>
        <family val="1"/>
        <charset val="204"/>
      </rPr>
      <t>законом</t>
    </r>
    <r>
      <rPr>
        <b/>
        <sz val="12"/>
        <color theme="1"/>
        <rFont val="Times New Roman"/>
        <family val="1"/>
        <charset val="204"/>
      </rPr>
      <t xml:space="preserve"> № 44-ФЗ, по соответствующему году закупки</t>
    </r>
    <r>
      <rPr>
        <b/>
        <sz val="12"/>
        <color theme="1"/>
        <rFont val="Times New Roman"/>
        <family val="1"/>
        <charset val="204"/>
      </rPr>
      <t xml:space="preserve"> </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</si>
  <si>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theme="1"/>
        <rFont val="Times New Roman"/>
        <family val="1"/>
        <charset val="204"/>
      </rPr>
      <t xml:space="preserve"> № 44-ФЗ и Федерального </t>
    </r>
    <r>
      <rPr>
        <sz val="12"/>
        <rFont val="Times New Roman"/>
        <family val="1"/>
        <charset val="204"/>
      </rPr>
      <t>закона</t>
    </r>
    <r>
      <rPr>
        <sz val="12"/>
        <color theme="1"/>
        <rFont val="Times New Roman"/>
        <family val="1"/>
        <charset val="204"/>
      </rPr>
      <t xml:space="preserve"> № 223-ФЗ</t>
    </r>
  </si>
  <si>
    <r>
      <t xml:space="preserve">в том числе:                                                       по контрактам (договорам), заключенным до начала текущего финансового года без применения норм Федерального </t>
    </r>
    <r>
      <rPr>
        <sz val="12"/>
        <rFont val="Times New Roman"/>
        <family val="1"/>
        <charset val="204"/>
      </rPr>
      <t>закона</t>
    </r>
    <r>
      <rPr>
        <sz val="12"/>
        <color theme="1"/>
        <rFont val="Times New Roman"/>
        <family val="1"/>
        <charset val="204"/>
      </rPr>
      <t xml:space="preserve">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t>
    </r>
    <r>
      <rPr>
        <sz val="12"/>
        <rFont val="Times New Roman"/>
        <family val="1"/>
        <charset val="204"/>
      </rPr>
      <t>закона</t>
    </r>
    <r>
      <rPr>
        <sz val="12"/>
        <color theme="1"/>
        <rFont val="Times New Roman"/>
        <family val="1"/>
        <charset val="204"/>
      </rPr>
      <t xml:space="preserve"> от 18 июля 2011 г. № 223-ФЗ «О закупках товаров, работ, услуг отдельными видами юридических лиц» (далее - Федеральный закон № 223-ФЗ)</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</si>
  <si>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theme="1"/>
        <rFont val="Times New Roman"/>
        <family val="1"/>
        <charset val="204"/>
      </rPr>
      <t xml:space="preserve"> № 44-ФЗ и Федерального </t>
    </r>
    <r>
      <rPr>
        <sz val="12"/>
        <rFont val="Times New Roman"/>
        <family val="1"/>
        <charset val="204"/>
      </rPr>
      <t>закона</t>
    </r>
    <r>
      <rPr>
        <sz val="12"/>
        <color theme="1"/>
        <rFont val="Times New Roman"/>
        <family val="1"/>
        <charset val="204"/>
      </rPr>
      <t xml:space="preserve"> № 223-ФЗ</t>
    </r>
  </si>
  <si>
    <r>
      <t>Выплаты на закупку товаров, работ, услуг, в</t>
    </r>
    <r>
      <rPr>
        <b/>
        <sz val="12"/>
        <rFont val="Times New Roman"/>
        <family val="1"/>
        <charset val="204"/>
      </rPr>
      <t>сего</t>
    </r>
  </si>
  <si>
    <t>в том числе:                                                         с Федеральным Законом 223-ФЗ</t>
  </si>
  <si>
    <t>в соответствии с Федеральным законом            № 223-ФЗ</t>
  </si>
  <si>
    <t>за счет субсидий, предоставляемых на осуществление капитальных вложений</t>
  </si>
  <si>
    <r>
      <t xml:space="preserve">по контрактам (договорам), планируемым к заключению в соответствующем финансовом году с учетом требований Федерального </t>
    </r>
    <r>
      <rPr>
        <b/>
        <sz val="12"/>
        <rFont val="Times New Roman"/>
        <family val="1"/>
        <charset val="204"/>
      </rPr>
      <t>закона</t>
    </r>
    <r>
      <rPr>
        <b/>
        <sz val="12"/>
        <color theme="1"/>
        <rFont val="Times New Roman"/>
        <family val="1"/>
        <charset val="204"/>
      </rPr>
      <t xml:space="preserve"> № 44-ФЗ и Федерального </t>
    </r>
    <r>
      <rPr>
        <b/>
        <sz val="12"/>
        <rFont val="Times New Roman"/>
        <family val="1"/>
        <charset val="204"/>
      </rPr>
      <t>закона</t>
    </r>
    <r>
      <rPr>
        <b/>
        <sz val="12"/>
        <color theme="1"/>
        <rFont val="Times New Roman"/>
        <family val="1"/>
        <charset val="204"/>
      </rPr>
      <t xml:space="preserve">  № 223-ФЗ</t>
    </r>
  </si>
  <si>
    <t xml:space="preserve"> 914 0701 7130129990 612 </t>
  </si>
  <si>
    <t xml:space="preserve"> 915 0701 7130129990 612 </t>
  </si>
  <si>
    <t xml:space="preserve"> 916 0701 7130129990 612 </t>
  </si>
  <si>
    <t>4-й год планового периода</t>
  </si>
  <si>
    <t>914 1003 7110175100 612</t>
  </si>
  <si>
    <t xml:space="preserve"> 914 1003 7110175100 612 </t>
  </si>
  <si>
    <t xml:space="preserve">914 1003 7110175100 612 </t>
  </si>
  <si>
    <t>ЗАКУПКА ПРОВЕРКА</t>
  </si>
  <si>
    <t>прочую закупку товаров, работ и услуг</t>
  </si>
  <si>
    <t>закупку энергетических ресурсов</t>
  </si>
  <si>
    <t>на</t>
  </si>
  <si>
    <t>СОГЛАСОВАНО:</t>
  </si>
  <si>
    <t xml:space="preserve">                                                                                                (должность)                                                         (подпись)                                 (расшифровка подписи)</t>
  </si>
  <si>
    <t>914 0701 7010123060 612</t>
  </si>
  <si>
    <t>914 0701 7010123330 612</t>
  </si>
  <si>
    <t>914 0701 7010122120 612</t>
  </si>
  <si>
    <t xml:space="preserve"> 914 0701 7010122120 612 </t>
  </si>
  <si>
    <t xml:space="preserve"> 914 0701 7010123060 612 </t>
  </si>
  <si>
    <t xml:space="preserve"> 914 0701 7010123330 612 </t>
  </si>
  <si>
    <t>на 2024 г.</t>
  </si>
  <si>
    <t>на 2025 г.</t>
  </si>
  <si>
    <t>на 2026 г.</t>
  </si>
  <si>
    <t>914 0701 7010520290 611</t>
  </si>
  <si>
    <t xml:space="preserve"> 914 0701 7010520290 611</t>
  </si>
  <si>
    <t>С. В. Богза</t>
  </si>
  <si>
    <t>Глава ЗАТО Видяево</t>
  </si>
  <si>
    <t>на 2024 г. (очередной финансовый год)</t>
  </si>
  <si>
    <t>на 2026 г. (2-ой год планового периода)</t>
  </si>
  <si>
    <t>на 2027 г.</t>
  </si>
  <si>
    <r>
      <t xml:space="preserve">Ответственное должностное лицо: заведующая                        ______________        </t>
    </r>
    <r>
      <rPr>
        <u/>
        <sz val="14"/>
        <color theme="1"/>
        <rFont val="Times New Roman"/>
        <family val="1"/>
        <charset val="204"/>
      </rPr>
      <t xml:space="preserve">        Цедик Н. О.          </t>
    </r>
  </si>
  <si>
    <t>Расчеты (обоснования) к плану финансово-хозяйственной деятельности государственного (муниципального) учреждения</t>
  </si>
  <si>
    <t xml:space="preserve">1.     </t>
  </si>
  <si>
    <t>1.1 Выплаты по заработной плате, оплата отпусков и другие выплаты (с учетом поступлений из всех бюджетов)</t>
  </si>
  <si>
    <t>КОСГУ</t>
  </si>
  <si>
    <t>211</t>
  </si>
  <si>
    <t>№ 
п/п</t>
  </si>
  <si>
    <t>Должность, 
группа должностей</t>
  </si>
  <si>
    <t>Установленная штатная численность, единиц</t>
  </si>
  <si>
    <t>Среднемесячный размер оплаты труда, руб.</t>
  </si>
  <si>
    <t>Районный коэффициент (2,3) (гр.4х2,3-гр.4)</t>
  </si>
  <si>
    <t>Фонд оплаты труда в год, руб. ((гр. 4 + гр.12) x 12 мес.)</t>
  </si>
  <si>
    <t>всего (гр.5+гр.6+гр.7+гр.8+гр.9+гр.10+ гр.11)</t>
  </si>
  <si>
    <t>должностной оклад</t>
  </si>
  <si>
    <t>25% сельские</t>
  </si>
  <si>
    <t>категория</t>
  </si>
  <si>
    <t>вредность</t>
  </si>
  <si>
    <t xml:space="preserve">доплата до минимума </t>
  </si>
  <si>
    <t xml:space="preserve"> выплаты стимулирующего характера</t>
  </si>
  <si>
    <t>1</t>
  </si>
  <si>
    <t>Должности не отнесенные к квалификационным уровням</t>
  </si>
  <si>
    <t>2</t>
  </si>
  <si>
    <t>Средний медицинский персонал</t>
  </si>
  <si>
    <t>3</t>
  </si>
  <si>
    <t>Общеотраслевые должности служащих второго уровня</t>
  </si>
  <si>
    <t>4</t>
  </si>
  <si>
    <t>Общеотраслевые профессии рабочих</t>
  </si>
  <si>
    <t>5</t>
  </si>
  <si>
    <t>6</t>
  </si>
  <si>
    <t>Общеотраслевые должности служащих третьего уровня</t>
  </si>
  <si>
    <t xml:space="preserve">Итого: </t>
  </si>
  <si>
    <t>Педагоги</t>
  </si>
  <si>
    <t>Логопункт</t>
  </si>
  <si>
    <t>Старший воспиталь</t>
  </si>
  <si>
    <t>Воспитатель</t>
  </si>
  <si>
    <t>Младший воспитатель</t>
  </si>
  <si>
    <t xml:space="preserve">Итого по учреждению: </t>
  </si>
  <si>
    <t xml:space="preserve">Потребность в выплате заработной платы - </t>
  </si>
  <si>
    <t xml:space="preserve">Итого выделено по КОСГУ 211 - </t>
  </si>
  <si>
    <t>1.2 Начисления на выплаты по оплате труда (с учетом поступлений из всех бюджетов)</t>
  </si>
  <si>
    <t>21300</t>
  </si>
  <si>
    <t>213</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</si>
  <si>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</si>
  <si>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</si>
  <si>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</si>
  <si>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всего</t>
  </si>
  <si>
    <t xml:space="preserve">Итого выделено по КОСГУ 213 - </t>
  </si>
  <si>
    <t>1.3 Учебные расходы (с учетом поступлений из всех бюджетов)</t>
  </si>
  <si>
    <t>Учебные расходы</t>
  </si>
  <si>
    <t>Местный бюджет, руб.</t>
  </si>
  <si>
    <t>Областной бюджет,руб.</t>
  </si>
  <si>
    <t>Сумма, руб. 
(гр. 3+ гр. 4)</t>
  </si>
  <si>
    <t xml:space="preserve">Медицинский осмотр </t>
  </si>
  <si>
    <t>Курсы повышения квалификации</t>
  </si>
  <si>
    <t>Игры, игрушки</t>
  </si>
  <si>
    <t>Оборудование</t>
  </si>
  <si>
    <t>Канцелярские принадлежности</t>
  </si>
  <si>
    <t>Физическая охрана</t>
  </si>
  <si>
    <t>Программное обеспечение MICROSOFT</t>
  </si>
  <si>
    <t>остаток на 01.01.2023</t>
  </si>
  <si>
    <t xml:space="preserve"> </t>
  </si>
  <si>
    <t>О.В. Патраманская</t>
  </si>
  <si>
    <t>Заместитель Главы ЗАТО Видяево - начальник отдела ОКСиМП</t>
  </si>
  <si>
    <t>26</t>
  </si>
  <si>
    <t>января</t>
  </si>
  <si>
    <t>24</t>
  </si>
  <si>
    <t>на 2024 год (на 2025 год и плановый период 2026 и 2027 годов)</t>
  </si>
  <si>
    <t>на 2024 г. текущий финансовый год</t>
  </si>
  <si>
    <t>на 2025 г. (очередной финансовый год)</t>
  </si>
  <si>
    <t>на 2026 г.  (1-ый год планового периода)</t>
  </si>
  <si>
    <t>на 2027 г. (2-ой год планового периода)</t>
  </si>
  <si>
    <t>на 2028 г. (3-ой год планового периода)</t>
  </si>
  <si>
    <t>на 2025 г.              (1-ый год планового периода)</t>
  </si>
  <si>
    <t>на 2027 г. (3-ий год планового периода)</t>
  </si>
  <si>
    <t>на 2028 г. (4-ий год планового периода)</t>
  </si>
  <si>
    <t>на 2028 г.</t>
  </si>
  <si>
    <t>Исполнитель: зам.директора                                                                        Никишина Н.В.                8-960-021-17-81</t>
  </si>
  <si>
    <t xml:space="preserve">                                   (должность)                                          (подпись)                                                                   (фамилия, инициалы)                     (телефон)</t>
  </si>
</sst>
</file>

<file path=xl/styles.xml><?xml version="1.0" encoding="utf-8"?>
<styleSheet xmlns="http://schemas.openxmlformats.org/spreadsheetml/2006/main">
  <numFmts count="5">
    <numFmt numFmtId="43" formatCode="_-* #,##0.00\ _₽_-;\-* #,##0.00\ _₽_-;_-* &quot;-&quot;??\ _₽_-;_-@_-"/>
    <numFmt numFmtId="164" formatCode="#,##0.00_ ;\-#,##0.00\ "/>
    <numFmt numFmtId="165" formatCode="#,##0.0"/>
    <numFmt numFmtId="166" formatCode="[$-FC19]dd\ mmmm\ yyyy\ \г\.;@"/>
    <numFmt numFmtId="167" formatCode="_-* #,##0.00_р_._-;\-* #,##0.00_р_._-;_-* &quot;-&quot;??_р_._-;_-@_-"/>
  </numFmts>
  <fonts count="40">
    <font>
      <sz val="11"/>
      <color theme="1"/>
      <name val="Calibri"/>
      <family val="2"/>
      <charset val="204"/>
      <scheme val="minor"/>
    </font>
    <font>
      <sz val="10"/>
      <color indexed="8"/>
      <name val="Times New Roman"/>
      <family val="1"/>
      <charset val="204"/>
    </font>
    <font>
      <b/>
      <sz val="10"/>
      <color indexed="8"/>
      <name val="Times New Roman"/>
      <family val="1"/>
      <charset val="204"/>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sz val="10"/>
      <color indexed="8"/>
      <name val="Calibri"/>
      <family val="2"/>
      <charset val="204"/>
    </font>
    <font>
      <sz val="8"/>
      <name val="Calibri"/>
      <family val="2"/>
      <charset val="204"/>
    </font>
    <font>
      <vertAlign val="superscript"/>
      <sz val="12"/>
      <name val="Times New Roman"/>
      <family val="1"/>
      <charset val="204"/>
    </font>
    <font>
      <u/>
      <sz val="10"/>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vertAlign val="superscript"/>
      <sz val="12"/>
      <color theme="1"/>
      <name val="Times New Roman"/>
      <family val="1"/>
      <charset val="204"/>
    </font>
    <font>
      <vertAlign val="superscript"/>
      <sz val="12"/>
      <color theme="1"/>
      <name val="Calibri"/>
      <family val="2"/>
      <charset val="204"/>
      <scheme val="minor"/>
    </font>
    <font>
      <sz val="12"/>
      <color theme="1"/>
      <name val="Calibri"/>
      <family val="2"/>
      <charset val="204"/>
      <scheme val="minor"/>
    </font>
    <font>
      <sz val="12"/>
      <color rgb="FF000000"/>
      <name val="Times New Roman"/>
      <family val="1"/>
      <charset val="204"/>
    </font>
    <font>
      <sz val="10"/>
      <color rgb="FF000000"/>
      <name val="Times New Roman"/>
      <family val="1"/>
      <charset val="204"/>
    </font>
    <font>
      <b/>
      <sz val="10"/>
      <color rgb="FF000000"/>
      <name val="Times New Roman"/>
      <family val="1"/>
      <charset val="204"/>
    </font>
    <font>
      <b/>
      <sz val="12"/>
      <color indexed="8"/>
      <name val="Times New Roman"/>
      <family val="1"/>
      <charset val="204"/>
    </font>
    <font>
      <b/>
      <sz val="12"/>
      <color theme="1"/>
      <name val="Times New Roman"/>
      <family val="1"/>
      <charset val="204"/>
    </font>
    <font>
      <b/>
      <sz val="14"/>
      <color theme="1"/>
      <name val="Times New Roman"/>
      <family val="1"/>
      <charset val="204"/>
    </font>
    <font>
      <sz val="12"/>
      <color indexed="8"/>
      <name val="Times New Roman"/>
      <family val="1"/>
      <charset val="204"/>
    </font>
    <font>
      <b/>
      <sz val="12"/>
      <color indexed="8"/>
      <name val="Calibri"/>
      <family val="2"/>
      <charset val="204"/>
    </font>
    <font>
      <b/>
      <i/>
      <sz val="12"/>
      <color indexed="8"/>
      <name val="Times New Roman"/>
      <family val="1"/>
      <charset val="204"/>
    </font>
    <font>
      <b/>
      <i/>
      <sz val="12"/>
      <color indexed="8"/>
      <name val="Calibri"/>
      <family val="2"/>
      <charset val="204"/>
    </font>
    <font>
      <b/>
      <sz val="14"/>
      <name val="Times New Roman"/>
      <family val="1"/>
      <charset val="204"/>
    </font>
    <font>
      <sz val="10"/>
      <color theme="1"/>
      <name val="Times New Roman"/>
      <family val="1"/>
      <charset val="204"/>
    </font>
    <font>
      <u/>
      <sz val="14"/>
      <color theme="1"/>
      <name val="Times New Roman"/>
      <family val="1"/>
      <charset val="204"/>
    </font>
    <font>
      <sz val="14"/>
      <color indexed="8"/>
      <name val="Times New Roman"/>
      <family val="1"/>
      <charset val="204"/>
    </font>
    <font>
      <b/>
      <u/>
      <sz val="14"/>
      <name val="Times New Roman"/>
      <family val="1"/>
      <charset val="204"/>
    </font>
    <font>
      <b/>
      <sz val="11"/>
      <name val="Times New Roman"/>
      <family val="1"/>
      <charset val="204"/>
    </font>
    <font>
      <sz val="11"/>
      <name val="Times New Roman"/>
      <family val="1"/>
      <charset val="204"/>
    </font>
    <font>
      <sz val="16"/>
      <name val="Times New Roman"/>
      <family val="1"/>
      <charset val="204"/>
    </font>
    <font>
      <b/>
      <sz val="16"/>
      <color rgb="FFFFFF00"/>
      <name val="Times New Roman"/>
      <family val="1"/>
      <charset val="204"/>
    </font>
    <font>
      <b/>
      <sz val="12"/>
      <color rgb="FFFFFF00"/>
      <name val="Times New Roman"/>
      <family val="1"/>
      <charset val="204"/>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3" fillId="0" borderId="0"/>
    <xf numFmtId="167" fontId="3" fillId="0" borderId="0" applyFont="0" applyFill="0" applyBorder="0" applyAlignment="0" applyProtection="0"/>
  </cellStyleXfs>
  <cellXfs count="520">
    <xf numFmtId="0" fontId="0" fillId="0" borderId="0" xfId="0"/>
    <xf numFmtId="0" fontId="1" fillId="0" borderId="0" xfId="0" applyFont="1" applyAlignment="1">
      <alignment horizontal="center" vertical="center" wrapText="1"/>
    </xf>
    <xf numFmtId="0" fontId="4" fillId="0" borderId="0" xfId="1" applyFont="1"/>
    <xf numFmtId="0" fontId="5" fillId="0" borderId="0" xfId="1" applyFont="1"/>
    <xf numFmtId="0" fontId="6" fillId="0" borderId="0" xfId="1" applyFont="1"/>
    <xf numFmtId="0" fontId="5" fillId="0" borderId="0" xfId="1" applyFont="1" applyFill="1"/>
    <xf numFmtId="49" fontId="5" fillId="0" borderId="0" xfId="1" applyNumberFormat="1" applyFont="1" applyBorder="1" applyAlignment="1">
      <alignment horizontal="left"/>
    </xf>
    <xf numFmtId="0" fontId="8" fillId="0" borderId="0" xfId="1" applyFont="1"/>
    <xf numFmtId="0" fontId="5" fillId="0" borderId="0" xfId="1" applyFont="1" applyAlignment="1">
      <alignment vertical="center"/>
    </xf>
    <xf numFmtId="0" fontId="5" fillId="0" borderId="0" xfId="1" applyFont="1" applyFill="1" applyBorder="1" applyAlignment="1">
      <alignment horizontal="left" wrapText="1"/>
    </xf>
    <xf numFmtId="49" fontId="5" fillId="0" borderId="0" xfId="1" applyNumberFormat="1" applyFont="1" applyFill="1" applyBorder="1" applyAlignment="1">
      <alignment horizontal="center" vertical="top"/>
    </xf>
    <xf numFmtId="0" fontId="8" fillId="0" borderId="0" xfId="0" applyFont="1"/>
    <xf numFmtId="49" fontId="5" fillId="0" borderId="0" xfId="1" applyNumberFormat="1" applyFont="1" applyFill="1" applyBorder="1" applyAlignment="1">
      <alignment horizontal="left" vertical="top" wrapText="1"/>
    </xf>
    <xf numFmtId="0" fontId="10" fillId="0" borderId="0" xfId="0" applyFont="1" applyAlignment="1">
      <alignment horizontal="center" vertical="center"/>
    </xf>
    <xf numFmtId="0" fontId="1" fillId="0" borderId="0" xfId="0" applyFont="1" applyAlignment="1">
      <alignment horizontal="center" vertical="center"/>
    </xf>
    <xf numFmtId="0" fontId="5" fillId="0" borderId="0" xfId="1" applyFont="1" applyFill="1" applyAlignment="1">
      <alignment horizontal="left" vertical="top" wrapText="1"/>
    </xf>
    <xf numFmtId="0" fontId="5" fillId="0" borderId="0" xfId="1" applyFont="1" applyFill="1" applyAlignment="1">
      <alignment horizontal="left"/>
    </xf>
    <xf numFmtId="0" fontId="5" fillId="0" borderId="0" xfId="1" applyFont="1" applyFill="1" applyAlignment="1">
      <alignment vertical="center"/>
    </xf>
    <xf numFmtId="0" fontId="5" fillId="0" borderId="0" xfId="1" applyFont="1" applyFill="1" applyAlignment="1">
      <alignment horizontal="right" vertical="center"/>
    </xf>
    <xf numFmtId="0" fontId="9" fillId="0" borderId="0" xfId="1" applyFont="1" applyFill="1"/>
    <xf numFmtId="0" fontId="9" fillId="0" borderId="0" xfId="1" applyFont="1" applyFill="1" applyAlignment="1">
      <alignment horizontal="right"/>
    </xf>
    <xf numFmtId="0" fontId="5" fillId="0" borderId="0" xfId="1" applyFont="1" applyFill="1" applyAlignment="1">
      <alignment vertical="top"/>
    </xf>
    <xf numFmtId="0" fontId="5" fillId="0" borderId="0" xfId="1" applyFont="1" applyFill="1" applyAlignment="1">
      <alignment wrapText="1"/>
    </xf>
    <xf numFmtId="0" fontId="5" fillId="0" borderId="0" xfId="1" applyFont="1" applyFill="1" applyBorder="1" applyAlignment="1">
      <alignment wrapText="1"/>
    </xf>
    <xf numFmtId="0" fontId="4" fillId="0" borderId="0" xfId="1" applyFont="1" applyFill="1"/>
    <xf numFmtId="0" fontId="5" fillId="0" borderId="0" xfId="1" applyFont="1"/>
    <xf numFmtId="0" fontId="12" fillId="0" borderId="0" xfId="1" applyFont="1" applyFill="1" applyAlignment="1"/>
    <xf numFmtId="0" fontId="5" fillId="0" borderId="0" xfId="1" applyFont="1" applyFill="1" applyBorder="1" applyAlignment="1">
      <alignment horizontal="left" vertical="center" wrapText="1"/>
    </xf>
    <xf numFmtId="0" fontId="16" fillId="0" borderId="2" xfId="0" applyFont="1" applyBorder="1" applyAlignment="1">
      <alignment horizontal="left" vertical="center" wrapText="1" indent="4"/>
    </xf>
    <xf numFmtId="0" fontId="16" fillId="0" borderId="2" xfId="0" applyFont="1" applyBorder="1" applyAlignment="1">
      <alignment horizontal="left" vertical="center" wrapText="1" indent="1"/>
    </xf>
    <xf numFmtId="0" fontId="16" fillId="2" borderId="2" xfId="0" applyFont="1" applyFill="1" applyBorder="1" applyAlignment="1">
      <alignment horizontal="left" vertical="center" wrapText="1" indent="4"/>
    </xf>
    <xf numFmtId="0" fontId="8" fillId="2" borderId="2" xfId="0" applyFont="1" applyFill="1" applyBorder="1" applyAlignment="1">
      <alignment vertical="center" wrapText="1"/>
    </xf>
    <xf numFmtId="0" fontId="5" fillId="0" borderId="0" xfId="1" applyFont="1"/>
    <xf numFmtId="0" fontId="16" fillId="0" borderId="2" xfId="0" applyFont="1" applyBorder="1" applyAlignment="1">
      <alignment wrapText="1"/>
    </xf>
    <xf numFmtId="0" fontId="16" fillId="0" borderId="2" xfId="0" applyFont="1" applyBorder="1"/>
    <xf numFmtId="0" fontId="5" fillId="0" borderId="0" xfId="1" applyFont="1"/>
    <xf numFmtId="0" fontId="2"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2"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0" fillId="0" borderId="2" xfId="0" applyFont="1" applyBorder="1" applyAlignment="1">
      <alignment vertical="center" wrapText="1"/>
    </xf>
    <xf numFmtId="0" fontId="20" fillId="0" borderId="2" xfId="0" applyFont="1" applyBorder="1" applyAlignment="1">
      <alignment horizontal="left" vertical="center" wrapText="1" indent="2"/>
    </xf>
    <xf numFmtId="0" fontId="22"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applyAlignment="1">
      <alignment horizontal="justify" vertical="center"/>
    </xf>
    <xf numFmtId="0" fontId="5" fillId="0" borderId="0" xfId="1" applyFont="1" applyAlignment="1"/>
    <xf numFmtId="0" fontId="5" fillId="0" borderId="0" xfId="1" applyFont="1" applyAlignment="1">
      <alignment horizontal="center" vertical="center"/>
    </xf>
    <xf numFmtId="0" fontId="5" fillId="0" borderId="2" xfId="1" applyFont="1" applyBorder="1" applyAlignment="1">
      <alignment horizontal="center" vertical="center"/>
    </xf>
    <xf numFmtId="0" fontId="5" fillId="0" borderId="0" xfId="1" applyFont="1"/>
    <xf numFmtId="0" fontId="5" fillId="0" borderId="0" xfId="1" applyFont="1"/>
    <xf numFmtId="0" fontId="16" fillId="0" borderId="2" xfId="0" applyFont="1" applyBorder="1" applyAlignment="1">
      <alignment horizontal="center" vertical="center" wrapText="1"/>
    </xf>
    <xf numFmtId="0" fontId="9" fillId="0" borderId="0" xfId="1" applyFont="1"/>
    <xf numFmtId="0" fontId="5" fillId="0" borderId="0" xfId="1" applyFont="1"/>
    <xf numFmtId="0" fontId="24" fillId="0" borderId="2" xfId="0" applyFont="1" applyBorder="1" applyAlignment="1">
      <alignment wrapText="1"/>
    </xf>
    <xf numFmtId="0" fontId="5" fillId="4" borderId="0" xfId="1" applyFont="1" applyFill="1"/>
    <xf numFmtId="0" fontId="5" fillId="3" borderId="2" xfId="1" applyFont="1" applyFill="1" applyBorder="1" applyAlignment="1">
      <alignment horizontal="center" vertical="center"/>
    </xf>
    <xf numFmtId="0" fontId="16" fillId="3" borderId="2" xfId="0" applyFont="1" applyFill="1" applyBorder="1" applyAlignment="1">
      <alignment horizontal="center" vertical="center" wrapText="1"/>
    </xf>
    <xf numFmtId="4" fontId="16" fillId="0" borderId="2" xfId="0" applyNumberFormat="1" applyFont="1" applyBorder="1" applyAlignment="1">
      <alignment horizontal="center" vertical="center" wrapText="1"/>
    </xf>
    <xf numFmtId="4" fontId="16" fillId="0" borderId="2" xfId="0" applyNumberFormat="1" applyFont="1" applyBorder="1" applyAlignment="1">
      <alignment vertical="center" wrapText="1"/>
    </xf>
    <xf numFmtId="4" fontId="16" fillId="3" borderId="2" xfId="0" applyNumberFormat="1" applyFont="1" applyFill="1" applyBorder="1" applyAlignment="1">
      <alignment horizontal="center" vertical="center" wrapText="1"/>
    </xf>
    <xf numFmtId="0" fontId="5" fillId="0" borderId="0" xfId="1" applyFont="1" applyAlignment="1">
      <alignment horizontal="center"/>
    </xf>
    <xf numFmtId="0" fontId="5" fillId="0" borderId="0" xfId="1" applyFont="1"/>
    <xf numFmtId="49" fontId="16" fillId="0" borderId="2" xfId="0" applyNumberFormat="1" applyFont="1" applyBorder="1" applyAlignment="1">
      <alignment horizontal="center" vertical="center" wrapText="1"/>
    </xf>
    <xf numFmtId="0" fontId="16" fillId="2" borderId="2" xfId="0" applyFont="1" applyFill="1" applyBorder="1" applyAlignment="1">
      <alignment horizontal="left" vertical="center" wrapText="1"/>
    </xf>
    <xf numFmtId="4" fontId="16" fillId="0" borderId="2" xfId="0" applyNumberFormat="1" applyFont="1" applyBorder="1" applyAlignment="1">
      <alignment vertical="center" wrapText="1"/>
    </xf>
    <xf numFmtId="0" fontId="16" fillId="0" borderId="2" xfId="0" applyFont="1" applyBorder="1" applyAlignment="1">
      <alignment horizontal="center" vertical="center" wrapText="1"/>
    </xf>
    <xf numFmtId="4"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4" fillId="0" borderId="2" xfId="0" applyFont="1" applyBorder="1" applyAlignment="1">
      <alignment horizontal="center" vertical="center" wrapText="1"/>
    </xf>
    <xf numFmtId="4" fontId="16" fillId="3"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4" fontId="16" fillId="2" borderId="2" xfId="0" applyNumberFormat="1" applyFont="1" applyFill="1" applyBorder="1" applyAlignment="1">
      <alignment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4" fillId="0" borderId="2" xfId="0" applyFont="1" applyBorder="1"/>
    <xf numFmtId="0" fontId="16" fillId="3" borderId="2" xfId="0" applyFont="1" applyFill="1" applyBorder="1" applyAlignment="1">
      <alignment horizontal="center" vertical="center" wrapText="1"/>
    </xf>
    <xf numFmtId="0" fontId="16" fillId="3" borderId="2" xfId="0" applyFont="1" applyFill="1" applyBorder="1" applyAlignment="1">
      <alignment vertical="center" wrapText="1"/>
    </xf>
    <xf numFmtId="0" fontId="5" fillId="3" borderId="0" xfId="1" applyFont="1" applyFill="1"/>
    <xf numFmtId="4" fontId="9" fillId="0" borderId="0" xfId="1" applyNumberFormat="1" applyFont="1"/>
    <xf numFmtId="4" fontId="5" fillId="0" borderId="0" xfId="1" applyNumberFormat="1" applyFont="1"/>
    <xf numFmtId="0" fontId="9" fillId="3" borderId="2" xfId="1" applyFont="1" applyFill="1" applyBorder="1" applyAlignment="1">
      <alignment horizontal="center" vertical="center"/>
    </xf>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9" fillId="3" borderId="2" xfId="1" applyFont="1" applyFill="1" applyBorder="1" applyAlignment="1">
      <alignment horizontal="center" vertical="center"/>
    </xf>
    <xf numFmtId="16" fontId="9" fillId="3" borderId="2" xfId="1" applyNumberFormat="1" applyFont="1" applyFill="1" applyBorder="1" applyAlignment="1">
      <alignment horizontal="center" vertical="center"/>
    </xf>
    <xf numFmtId="4" fontId="9" fillId="3" borderId="0" xfId="1" applyNumberFormat="1" applyFont="1" applyFill="1"/>
    <xf numFmtId="0" fontId="9" fillId="3" borderId="0" xfId="1" applyFont="1" applyFill="1"/>
    <xf numFmtId="0" fontId="23" fillId="3" borderId="2" xfId="0" applyFont="1" applyFill="1" applyBorder="1" applyAlignment="1">
      <alignment horizontal="center" vertical="center"/>
    </xf>
    <xf numFmtId="49" fontId="23" fillId="0" borderId="2" xfId="0" applyNumberFormat="1" applyFont="1" applyFill="1" applyBorder="1" applyAlignment="1">
      <alignment horizontal="center" vertical="center"/>
    </xf>
    <xf numFmtId="43" fontId="23" fillId="0" borderId="2" xfId="0" applyNumberFormat="1" applyFont="1" applyFill="1" applyBorder="1" applyAlignment="1">
      <alignment horizontal="center" vertical="center"/>
    </xf>
    <xf numFmtId="43" fontId="23" fillId="3" borderId="2" xfId="0" applyNumberFormat="1" applyFont="1" applyFill="1" applyBorder="1" applyAlignment="1">
      <alignment horizontal="center" vertical="center"/>
    </xf>
    <xf numFmtId="0" fontId="27" fillId="0" borderId="0" xfId="0" applyFont="1" applyAlignment="1">
      <alignment horizontal="center" vertical="center"/>
    </xf>
    <xf numFmtId="0" fontId="26" fillId="0" borderId="2" xfId="0" applyFont="1" applyFill="1" applyBorder="1" applyAlignment="1">
      <alignment horizontal="center" vertical="center"/>
    </xf>
    <xf numFmtId="49" fontId="26" fillId="0" borderId="2" xfId="0" applyNumberFormat="1" applyFont="1" applyFill="1" applyBorder="1" applyAlignment="1">
      <alignment horizontal="center" vertical="center"/>
    </xf>
    <xf numFmtId="43" fontId="26" fillId="0" borderId="2" xfId="0" applyNumberFormat="1" applyFont="1" applyFill="1" applyBorder="1" applyAlignment="1">
      <alignment horizontal="center" vertical="center"/>
    </xf>
    <xf numFmtId="0" fontId="29" fillId="0" borderId="0" xfId="0" applyFont="1" applyAlignment="1">
      <alignment horizontal="center" vertical="center"/>
    </xf>
    <xf numFmtId="43" fontId="8" fillId="0" borderId="2" xfId="0" applyNumberFormat="1" applyFont="1" applyFill="1" applyBorder="1" applyAlignment="1">
      <alignment horizontal="center" vertical="center"/>
    </xf>
    <xf numFmtId="0" fontId="23" fillId="3" borderId="0" xfId="0" applyFont="1" applyFill="1" applyBorder="1" applyAlignment="1">
      <alignment horizontal="center" vertical="center"/>
    </xf>
    <xf numFmtId="0" fontId="28" fillId="0" borderId="0" xfId="0" applyFont="1" applyFill="1" applyBorder="1" applyAlignment="1">
      <alignment horizontal="center" vertical="center"/>
    </xf>
    <xf numFmtId="0" fontId="9" fillId="0" borderId="0" xfId="1" applyFont="1" applyBorder="1"/>
    <xf numFmtId="4" fontId="8" fillId="0" borderId="2" xfId="0" applyNumberFormat="1" applyFont="1" applyFill="1" applyBorder="1" applyAlignment="1">
      <alignment horizontal="center" vertical="center"/>
    </xf>
    <xf numFmtId="4" fontId="26" fillId="3" borderId="2" xfId="0" applyNumberFormat="1" applyFont="1" applyFill="1" applyBorder="1" applyAlignment="1">
      <alignment horizontal="center" vertical="center"/>
    </xf>
    <xf numFmtId="4" fontId="26" fillId="0" borderId="2" xfId="0" applyNumberFormat="1" applyFont="1" applyFill="1" applyBorder="1" applyAlignment="1">
      <alignment horizontal="center" vertical="center"/>
    </xf>
    <xf numFmtId="0" fontId="0" fillId="0" borderId="0" xfId="0" applyFont="1" applyAlignment="1">
      <alignment horizontal="center"/>
    </xf>
    <xf numFmtId="0" fontId="7" fillId="3" borderId="2" xfId="0" applyFont="1" applyFill="1" applyBorder="1" applyAlignment="1">
      <alignment vertical="center" wrapText="1"/>
    </xf>
    <xf numFmtId="4" fontId="25" fillId="4" borderId="2" xfId="0" applyNumberFormat="1" applyFont="1" applyFill="1" applyBorder="1" applyAlignment="1">
      <alignment horizontal="center" vertical="center" wrapText="1"/>
    </xf>
    <xf numFmtId="4" fontId="30" fillId="4" borderId="0" xfId="1" applyNumberFormat="1" applyFont="1" applyFill="1"/>
    <xf numFmtId="0" fontId="30" fillId="4" borderId="0" xfId="1" applyFont="1" applyFill="1"/>
    <xf numFmtId="164" fontId="26" fillId="0" borderId="2" xfId="0" applyNumberFormat="1" applyFont="1" applyFill="1" applyBorder="1" applyAlignment="1">
      <alignment horizontal="center" vertical="center"/>
    </xf>
    <xf numFmtId="4" fontId="25" fillId="3" borderId="2" xfId="0" applyNumberFormat="1" applyFont="1" applyFill="1" applyBorder="1" applyAlignment="1">
      <alignment horizontal="center" vertical="center" wrapText="1"/>
    </xf>
    <xf numFmtId="4" fontId="30" fillId="3" borderId="0" xfId="1" applyNumberFormat="1" applyFont="1" applyFill="1"/>
    <xf numFmtId="0" fontId="30" fillId="3" borderId="0" xfId="1" applyFont="1" applyFill="1"/>
    <xf numFmtId="0" fontId="25" fillId="3" borderId="2" xfId="0" applyFont="1" applyFill="1" applyBorder="1" applyAlignment="1">
      <alignment vertical="center" wrapText="1"/>
    </xf>
    <xf numFmtId="0" fontId="25"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vertical="center" wrapText="1"/>
    </xf>
    <xf numFmtId="4" fontId="15" fillId="3" borderId="2" xfId="0" applyNumberFormat="1" applyFont="1" applyFill="1" applyBorder="1" applyAlignment="1">
      <alignment horizontal="center" vertical="center" wrapText="1"/>
    </xf>
    <xf numFmtId="0" fontId="25" fillId="4" borderId="2" xfId="0" applyFont="1" applyFill="1" applyBorder="1" applyAlignment="1">
      <alignment vertical="center" wrapText="1"/>
    </xf>
    <xf numFmtId="49" fontId="26" fillId="3" borderId="2" xfId="0" applyNumberFormat="1" applyFont="1" applyFill="1" applyBorder="1" applyAlignment="1">
      <alignment horizontal="left" vertical="center" wrapText="1"/>
    </xf>
    <xf numFmtId="49" fontId="26" fillId="0" borderId="2" xfId="0" applyNumberFormat="1" applyFont="1" applyFill="1" applyBorder="1" applyAlignment="1">
      <alignment vertical="center" wrapText="1"/>
    </xf>
    <xf numFmtId="49" fontId="8" fillId="0" borderId="2" xfId="0" applyNumberFormat="1" applyFont="1" applyFill="1" applyBorder="1" applyAlignment="1">
      <alignment horizontal="left" vertical="center" wrapText="1"/>
    </xf>
    <xf numFmtId="4" fontId="16" fillId="3" borderId="8" xfId="0" applyNumberFormat="1" applyFont="1" applyFill="1" applyBorder="1" applyAlignment="1">
      <alignment horizontal="center" vertical="center" wrapText="1"/>
    </xf>
    <xf numFmtId="4" fontId="20" fillId="0" borderId="2" xfId="0" applyNumberFormat="1" applyFont="1" applyBorder="1" applyAlignment="1">
      <alignment horizontal="center" vertical="center" wrapText="1"/>
    </xf>
    <xf numFmtId="3" fontId="20" fillId="0" borderId="2" xfId="0" applyNumberFormat="1" applyFont="1" applyBorder="1" applyAlignment="1">
      <alignment horizontal="center" vertical="center" wrapText="1"/>
    </xf>
    <xf numFmtId="165" fontId="20" fillId="0" borderId="2" xfId="0" applyNumberFormat="1" applyFont="1" applyBorder="1" applyAlignment="1">
      <alignment horizontal="center" vertical="center" wrapText="1"/>
    </xf>
    <xf numFmtId="0" fontId="5" fillId="0" borderId="0" xfId="1" applyFont="1"/>
    <xf numFmtId="0" fontId="16" fillId="2" borderId="2" xfId="0"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0" fontId="20"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4" fontId="1" fillId="0" borderId="0" xfId="0" applyNumberFormat="1" applyFont="1" applyAlignment="1">
      <alignment horizontal="center" vertical="center"/>
    </xf>
    <xf numFmtId="4" fontId="20" fillId="0" borderId="2"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4" fontId="31" fillId="0" borderId="2"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16" fillId="2" borderId="2" xfId="0" applyFont="1" applyFill="1" applyBorder="1" applyAlignment="1">
      <alignment vertical="center" wrapText="1"/>
    </xf>
    <xf numFmtId="0" fontId="16" fillId="2" borderId="2" xfId="0" applyFont="1" applyFill="1" applyBorder="1" applyAlignment="1">
      <alignment vertical="center" wrapText="1"/>
    </xf>
    <xf numFmtId="4" fontId="5" fillId="3" borderId="0" xfId="1" applyNumberFormat="1" applyFont="1" applyFill="1"/>
    <xf numFmtId="4" fontId="10" fillId="0" borderId="0" xfId="0" applyNumberFormat="1" applyFont="1" applyAlignment="1">
      <alignment horizontal="center" vertical="center"/>
    </xf>
    <xf numFmtId="0" fontId="5" fillId="0" borderId="0" xfId="1" applyFont="1"/>
    <xf numFmtId="0" fontId="24"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16" fillId="2" borderId="2" xfId="0" applyNumberFormat="1" applyFont="1" applyFill="1" applyBorder="1" applyAlignment="1">
      <alignment vertical="center" wrapText="1"/>
    </xf>
    <xf numFmtId="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16" fillId="2" borderId="2" xfId="0" applyFont="1" applyFill="1" applyBorder="1" applyAlignment="1">
      <alignment vertical="center" wrapText="1"/>
    </xf>
    <xf numFmtId="0" fontId="16"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25" fillId="0" borderId="2" xfId="0" applyNumberFormat="1" applyFont="1" applyFill="1" applyBorder="1" applyAlignment="1">
      <alignment horizontal="center" vertical="center" wrapText="1"/>
    </xf>
    <xf numFmtId="4" fontId="16" fillId="0" borderId="2" xfId="0" applyNumberFormat="1" applyFont="1" applyFill="1" applyBorder="1" applyAlignment="1">
      <alignment vertical="center" wrapText="1"/>
    </xf>
    <xf numFmtId="4" fontId="24" fillId="0" borderId="2" xfId="0" applyNumberFormat="1" applyFont="1" applyFill="1" applyBorder="1" applyAlignment="1">
      <alignment horizontal="center" vertical="center" wrapText="1"/>
    </xf>
    <xf numFmtId="0" fontId="0" fillId="0" borderId="0" xfId="0" applyFill="1"/>
    <xf numFmtId="0" fontId="5" fillId="0" borderId="0" xfId="1" applyFont="1" applyAlignment="1">
      <alignment horizontal="center"/>
    </xf>
    <xf numFmtId="0" fontId="5" fillId="0" borderId="0" xfId="1" applyFont="1"/>
    <xf numFmtId="0" fontId="24"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4" fontId="24" fillId="3" borderId="2" xfId="0" applyNumberFormat="1" applyFont="1" applyFill="1" applyBorder="1" applyAlignment="1">
      <alignment horizontal="center" vertical="center" wrapText="1"/>
    </xf>
    <xf numFmtId="4" fontId="16" fillId="2" borderId="2" xfId="0" applyNumberFormat="1" applyFont="1" applyFill="1" applyBorder="1" applyAlignment="1">
      <alignmen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xf numFmtId="0" fontId="16" fillId="2" borderId="2" xfId="0" applyFont="1" applyFill="1" applyBorder="1" applyAlignment="1">
      <alignment vertical="center" wrapText="1"/>
    </xf>
    <xf numFmtId="0" fontId="16" fillId="0" borderId="0" xfId="0" applyFont="1" applyAlignment="1">
      <alignment wrapText="1"/>
    </xf>
    <xf numFmtId="0" fontId="8" fillId="0" borderId="0" xfId="0" applyFont="1"/>
    <xf numFmtId="0" fontId="8" fillId="0" borderId="0" xfId="1" applyFont="1" applyAlignment="1">
      <alignment horizontal="left" wrapText="1"/>
    </xf>
    <xf numFmtId="0" fontId="8" fillId="0" borderId="0" xfId="1" applyFont="1" applyAlignment="1">
      <alignment horizontal="left"/>
    </xf>
    <xf numFmtId="0" fontId="18" fillId="0" borderId="0" xfId="0" applyFont="1" applyAlignment="1">
      <alignment horizontal="left" vertical="center" wrapText="1"/>
    </xf>
    <xf numFmtId="0" fontId="20" fillId="0" borderId="2" xfId="0" applyFont="1" applyBorder="1" applyAlignment="1">
      <alignment horizontal="center" vertical="center" wrapText="1"/>
    </xf>
    <xf numFmtId="4" fontId="24" fillId="2"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49" fontId="16" fillId="0" borderId="2" xfId="0" applyNumberFormat="1" applyFont="1" applyBorder="1" applyAlignment="1">
      <alignment horizontal="center" vertical="center" wrapText="1"/>
    </xf>
    <xf numFmtId="0" fontId="5" fillId="0" borderId="2" xfId="1" applyFont="1" applyBorder="1"/>
    <xf numFmtId="0" fontId="5" fillId="3" borderId="2" xfId="1" applyFont="1" applyFill="1" applyBorder="1"/>
    <xf numFmtId="0" fontId="9" fillId="0" borderId="2" xfId="1" applyFont="1" applyBorder="1"/>
    <xf numFmtId="4" fontId="9" fillId="3" borderId="2" xfId="1" applyNumberFormat="1" applyFont="1" applyFill="1" applyBorder="1" applyAlignment="1">
      <alignment horizontal="center"/>
    </xf>
    <xf numFmtId="0" fontId="9" fillId="3" borderId="2" xfId="1" applyFont="1" applyFill="1" applyBorder="1" applyAlignment="1">
      <alignment horizontal="center"/>
    </xf>
    <xf numFmtId="0" fontId="9" fillId="3" borderId="2" xfId="1" applyFont="1" applyFill="1" applyBorder="1"/>
    <xf numFmtId="4" fontId="1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4" fontId="2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0" fontId="15"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right" vertical="center" wrapText="1"/>
    </xf>
    <xf numFmtId="0" fontId="33" fillId="0" borderId="0" xfId="0" applyFont="1" applyAlignment="1">
      <alignment horizontal="center" vertical="center"/>
    </xf>
    <xf numFmtId="0" fontId="31" fillId="0" borderId="0" xfId="0" applyFont="1" applyBorder="1" applyAlignment="1">
      <alignment horizontal="left" vertical="top"/>
    </xf>
    <xf numFmtId="0" fontId="15" fillId="0" borderId="0" xfId="0" applyFont="1" applyAlignment="1">
      <alignment vertical="center"/>
    </xf>
    <xf numFmtId="0" fontId="5" fillId="0" borderId="0" xfId="1" applyFont="1"/>
    <xf numFmtId="0" fontId="16" fillId="0" borderId="2" xfId="0" applyFont="1" applyBorder="1" applyAlignment="1">
      <alignment horizontal="center" vertical="center" wrapText="1"/>
    </xf>
    <xf numFmtId="4" fontId="16" fillId="3" borderId="2"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9" fontId="16" fillId="0" borderId="2" xfId="0" applyNumberFormat="1" applyFont="1" applyBorder="1" applyAlignment="1">
      <alignment horizontal="center" vertical="center" wrapText="1"/>
    </xf>
    <xf numFmtId="4" fontId="16" fillId="0" borderId="2" xfId="0" applyNumberFormat="1" applyFont="1" applyFill="1" applyBorder="1" applyAlignment="1">
      <alignment vertical="center" wrapText="1"/>
    </xf>
    <xf numFmtId="0" fontId="16" fillId="3" borderId="2" xfId="0" applyFont="1" applyFill="1" applyBorder="1" applyAlignment="1">
      <alignment horizontal="center" vertical="center" wrapText="1"/>
    </xf>
    <xf numFmtId="4" fontId="5" fillId="0" borderId="2" xfId="1" applyNumberFormat="1" applyFont="1" applyBorder="1" applyAlignment="1"/>
    <xf numFmtId="4" fontId="5" fillId="0" borderId="2" xfId="1" applyNumberFormat="1" applyFont="1" applyBorder="1"/>
    <xf numFmtId="0" fontId="5" fillId="0" borderId="2" xfId="1" applyFont="1" applyBorder="1" applyAlignment="1"/>
    <xf numFmtId="0" fontId="9" fillId="3" borderId="2" xfId="1" applyFont="1" applyFill="1" applyBorder="1" applyAlignment="1"/>
    <xf numFmtId="0" fontId="9" fillId="3" borderId="4" xfId="1" applyFont="1" applyFill="1" applyBorder="1" applyAlignment="1"/>
    <xf numFmtId="4" fontId="9" fillId="3" borderId="3" xfId="1" applyNumberFormat="1" applyFont="1" applyFill="1" applyBorder="1" applyAlignment="1">
      <alignment horizontal="center"/>
    </xf>
    <xf numFmtId="4" fontId="9" fillId="3" borderId="6" xfId="1" applyNumberFormat="1" applyFont="1" applyFill="1" applyBorder="1" applyAlignment="1">
      <alignment horizontal="center"/>
    </xf>
    <xf numFmtId="4" fontId="9" fillId="3" borderId="4" xfId="1" applyNumberFormat="1" applyFont="1" applyFill="1" applyBorder="1" applyAlignment="1">
      <alignment horizontal="center"/>
    </xf>
    <xf numFmtId="4" fontId="16" fillId="0" borderId="2" xfId="0" applyNumberFormat="1" applyFont="1" applyFill="1" applyBorder="1" applyAlignment="1">
      <alignment horizontal="center" vertical="center" wrapText="1"/>
    </xf>
    <xf numFmtId="4"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5" fillId="0" borderId="0" xfId="1" applyFont="1"/>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49" fontId="16" fillId="0" borderId="2" xfId="0" applyNumberFormat="1" applyFont="1" applyBorder="1" applyAlignment="1">
      <alignment horizontal="center" vertical="center" wrapText="1"/>
    </xf>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4" fontId="16" fillId="2" borderId="2" xfId="0" applyNumberFormat="1" applyFont="1" applyFill="1" applyBorder="1" applyAlignment="1">
      <alignment vertical="center" wrapText="1"/>
    </xf>
    <xf numFmtId="0" fontId="23" fillId="0" borderId="0" xfId="0" applyFont="1" applyAlignment="1">
      <alignment vertical="center" wrapText="1"/>
    </xf>
    <xf numFmtId="0" fontId="16" fillId="2" borderId="2" xfId="0" applyFont="1" applyFill="1" applyBorder="1" applyAlignment="1">
      <alignment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166" fontId="15" fillId="0" borderId="0" xfId="0" applyNumberFormat="1" applyFont="1" applyAlignment="1">
      <alignment horizontal="left" vertical="center"/>
    </xf>
    <xf numFmtId="0" fontId="5" fillId="0" borderId="0" xfId="1" applyFont="1"/>
    <xf numFmtId="0" fontId="16" fillId="3" borderId="2" xfId="0" applyFont="1" applyFill="1" applyBorder="1" applyAlignment="1">
      <alignment horizontal="center" vertical="center" wrapText="1"/>
    </xf>
    <xf numFmtId="4" fontId="16" fillId="3" borderId="8" xfId="0" applyNumberFormat="1" applyFont="1" applyFill="1" applyBorder="1" applyAlignment="1">
      <alignment horizontal="center" vertical="center" wrapText="1"/>
    </xf>
    <xf numFmtId="0" fontId="5" fillId="3" borderId="2" xfId="1" applyFont="1" applyFill="1" applyBorder="1" applyAlignment="1">
      <alignment horizontal="center" vertical="center"/>
    </xf>
    <xf numFmtId="4" fontId="16" fillId="0" borderId="8"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4" fontId="16" fillId="3"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4" fontId="16" fillId="0" borderId="2" xfId="0" applyNumberFormat="1" applyFont="1" applyBorder="1" applyAlignment="1">
      <alignment vertical="center" wrapText="1"/>
    </xf>
    <xf numFmtId="4" fontId="24" fillId="3" borderId="2" xfId="0" applyNumberFormat="1" applyFont="1" applyFill="1" applyBorder="1" applyAlignment="1">
      <alignment horizontal="center" vertical="center" wrapText="1"/>
    </xf>
    <xf numFmtId="4" fontId="9" fillId="3" borderId="3" xfId="1" applyNumberFormat="1" applyFont="1" applyFill="1" applyBorder="1" applyAlignment="1">
      <alignment horizontal="center"/>
    </xf>
    <xf numFmtId="4" fontId="9" fillId="3" borderId="6" xfId="1" applyNumberFormat="1" applyFont="1" applyFill="1" applyBorder="1" applyAlignment="1">
      <alignment horizontal="center"/>
    </xf>
    <xf numFmtId="4" fontId="9" fillId="3" borderId="4" xfId="1" applyNumberFormat="1" applyFont="1" applyFill="1" applyBorder="1" applyAlignment="1">
      <alignment horizontal="center"/>
    </xf>
    <xf numFmtId="0" fontId="14" fillId="0" borderId="0" xfId="0" applyFont="1" applyFill="1" applyAlignment="1">
      <alignment horizontal="left" vertical="top"/>
    </xf>
    <xf numFmtId="0" fontId="14" fillId="0" borderId="0" xfId="0" applyFont="1" applyFill="1" applyAlignment="1">
      <alignment horizontal="left" vertical="center"/>
    </xf>
    <xf numFmtId="0" fontId="14" fillId="0" borderId="0" xfId="0" applyFont="1" applyFill="1" applyAlignment="1">
      <alignment horizontal="center" vertical="top"/>
    </xf>
    <xf numFmtId="0" fontId="14" fillId="0" borderId="1" xfId="0" applyFont="1" applyFill="1" applyBorder="1" applyAlignment="1">
      <alignment horizontal="center" vertical="top"/>
    </xf>
    <xf numFmtId="0" fontId="15" fillId="0" borderId="1" xfId="0" applyFont="1" applyFill="1" applyBorder="1" applyAlignment="1">
      <alignment horizontal="center"/>
    </xf>
    <xf numFmtId="0" fontId="8" fillId="0" borderId="0" xfId="1" applyNumberFormat="1" applyFont="1" applyBorder="1" applyAlignment="1">
      <alignment horizontal="left"/>
    </xf>
    <xf numFmtId="0" fontId="36" fillId="0" borderId="0" xfId="1" applyNumberFormat="1" applyFont="1" applyBorder="1" applyAlignment="1">
      <alignment horizontal="left"/>
    </xf>
    <xf numFmtId="0" fontId="5" fillId="0" borderId="0" xfId="1" applyNumberFormat="1" applyFont="1" applyBorder="1" applyAlignment="1">
      <alignment horizontal="center" vertical="center" wrapText="1"/>
    </xf>
    <xf numFmtId="0" fontId="37" fillId="0" borderId="0" xfId="1" applyNumberFormat="1" applyFont="1" applyBorder="1" applyAlignment="1">
      <alignment horizontal="center" vertical="center" wrapText="1"/>
    </xf>
    <xf numFmtId="4" fontId="38" fillId="0" borderId="0" xfId="1" applyNumberFormat="1" applyFont="1" applyBorder="1" applyAlignment="1">
      <alignment horizontal="center" vertical="center" wrapText="1"/>
    </xf>
    <xf numFmtId="0" fontId="5" fillId="0" borderId="0" xfId="1" applyNumberFormat="1" applyFont="1" applyBorder="1" applyAlignment="1">
      <alignment horizontal="center" vertical="top"/>
    </xf>
    <xf numFmtId="4" fontId="39" fillId="0" borderId="2" xfId="1" applyNumberFormat="1" applyFont="1" applyBorder="1" applyAlignment="1">
      <alignment horizontal="center" vertical="center"/>
    </xf>
    <xf numFmtId="4" fontId="39" fillId="0" borderId="4" xfId="1" applyNumberFormat="1" applyFont="1" applyBorder="1" applyAlignment="1">
      <alignment horizontal="left" vertical="center"/>
    </xf>
    <xf numFmtId="4" fontId="39" fillId="0" borderId="2" xfId="1" applyNumberFormat="1" applyFont="1" applyBorder="1" applyAlignment="1">
      <alignment horizontal="left" vertical="center"/>
    </xf>
    <xf numFmtId="0" fontId="9" fillId="0" borderId="0" xfId="1" applyNumberFormat="1" applyFont="1" applyBorder="1" applyAlignment="1">
      <alignment horizontal="left" vertical="center"/>
    </xf>
    <xf numFmtId="4" fontId="39" fillId="0" borderId="6" xfId="1" applyNumberFormat="1" applyFont="1" applyBorder="1" applyAlignment="1">
      <alignment horizontal="left" vertical="center"/>
    </xf>
    <xf numFmtId="167" fontId="9" fillId="0" borderId="0" xfId="2" applyFont="1" applyBorder="1" applyAlignment="1">
      <alignment horizontal="center" vertical="center"/>
    </xf>
    <xf numFmtId="167" fontId="9" fillId="0" borderId="0" xfId="2" applyFont="1" applyBorder="1" applyAlignment="1">
      <alignment vertical="center"/>
    </xf>
    <xf numFmtId="4" fontId="39" fillId="0" borderId="0" xfId="1" applyNumberFormat="1" applyFont="1" applyBorder="1" applyAlignment="1">
      <alignment horizontal="left" vertical="center"/>
    </xf>
    <xf numFmtId="49" fontId="9" fillId="0" borderId="0" xfId="1" applyNumberFormat="1" applyFont="1" applyBorder="1" applyAlignment="1">
      <alignment horizontal="right" vertical="center"/>
    </xf>
    <xf numFmtId="0" fontId="9" fillId="0" borderId="0" xfId="1" applyNumberFormat="1" applyFont="1" applyBorder="1" applyAlignment="1">
      <alignment horizontal="center" vertical="center"/>
    </xf>
    <xf numFmtId="43" fontId="9" fillId="0" borderId="0" xfId="1" applyNumberFormat="1" applyFont="1" applyBorder="1" applyAlignment="1">
      <alignment horizontal="left" vertical="center"/>
    </xf>
    <xf numFmtId="4" fontId="9" fillId="0" borderId="2" xfId="1" applyNumberFormat="1" applyFont="1" applyBorder="1" applyAlignment="1">
      <alignment horizontal="left" vertical="center"/>
    </xf>
    <xf numFmtId="4" fontId="36" fillId="0" borderId="2" xfId="1" applyNumberFormat="1" applyFont="1" applyBorder="1" applyAlignment="1">
      <alignment horizontal="left"/>
    </xf>
    <xf numFmtId="4" fontId="5" fillId="0" borderId="2" xfId="1" applyNumberFormat="1" applyFont="1" applyBorder="1" applyAlignment="1">
      <alignment horizontal="left"/>
    </xf>
    <xf numFmtId="49" fontId="35" fillId="0" borderId="0" xfId="1" applyNumberFormat="1" applyFont="1" applyBorder="1" applyAlignment="1">
      <alignment horizontal="center"/>
    </xf>
    <xf numFmtId="4" fontId="35" fillId="0" borderId="2" xfId="1" applyNumberFormat="1" applyFont="1" applyBorder="1" applyAlignment="1">
      <alignment horizontal="left"/>
    </xf>
    <xf numFmtId="0" fontId="5" fillId="0" borderId="3" xfId="1" applyNumberFormat="1" applyFont="1" applyBorder="1" applyAlignment="1">
      <alignment horizontal="left" vertical="center" wrapText="1"/>
    </xf>
    <xf numFmtId="0" fontId="9" fillId="0" borderId="0" xfId="1" applyNumberFormat="1" applyFont="1" applyBorder="1" applyAlignment="1">
      <alignment horizontal="left"/>
    </xf>
    <xf numFmtId="4" fontId="9" fillId="0" borderId="2" xfId="1" applyNumberFormat="1" applyFont="1" applyBorder="1" applyAlignment="1">
      <alignment horizontal="left"/>
    </xf>
    <xf numFmtId="49" fontId="9" fillId="0" borderId="0" xfId="1" applyNumberFormat="1" applyFont="1" applyBorder="1" applyAlignment="1">
      <alignment horizontal="center" vertical="center"/>
    </xf>
    <xf numFmtId="4" fontId="5" fillId="0" borderId="2" xfId="1" applyNumberFormat="1" applyFont="1" applyBorder="1" applyAlignment="1">
      <alignment horizontal="center" vertical="center" wrapText="1"/>
    </xf>
    <xf numFmtId="4" fontId="5" fillId="0" borderId="2" xfId="1" applyNumberFormat="1" applyFont="1" applyBorder="1" applyAlignment="1">
      <alignment horizontal="center" vertical="top"/>
    </xf>
    <xf numFmtId="4" fontId="4" fillId="0" borderId="2" xfId="1" applyNumberFormat="1" applyFont="1" applyBorder="1"/>
    <xf numFmtId="4" fontId="16" fillId="3" borderId="8" xfId="0" applyNumberFormat="1" applyFont="1" applyFill="1" applyBorder="1" applyAlignment="1">
      <alignment horizontal="center" vertical="center" wrapText="1"/>
    </xf>
    <xf numFmtId="0" fontId="35" fillId="0" borderId="0" xfId="1" applyNumberFormat="1" applyFont="1" applyBorder="1" applyAlignment="1">
      <alignment horizontal="left"/>
    </xf>
    <xf numFmtId="4" fontId="39" fillId="0" borderId="4" xfId="1" applyNumberFormat="1" applyFont="1" applyBorder="1" applyAlignment="1">
      <alignment horizontal="center" vertical="center"/>
    </xf>
    <xf numFmtId="4" fontId="9" fillId="0" borderId="0" xfId="1" applyNumberFormat="1" applyFont="1" applyBorder="1" applyAlignment="1">
      <alignment horizontal="center" vertical="center"/>
    </xf>
    <xf numFmtId="0" fontId="5" fillId="0" borderId="0" xfId="1" applyNumberFormat="1" applyFont="1" applyBorder="1" applyAlignment="1">
      <alignment horizontal="left"/>
    </xf>
    <xf numFmtId="4" fontId="16" fillId="0"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20" fillId="0" borderId="2" xfId="0" applyFont="1" applyBorder="1" applyAlignment="1">
      <alignment horizontal="center" vertical="center" wrapText="1"/>
    </xf>
    <xf numFmtId="43" fontId="5" fillId="0" borderId="0" xfId="1" applyNumberFormat="1" applyFont="1" applyBorder="1" applyAlignment="1"/>
    <xf numFmtId="0" fontId="5" fillId="0" borderId="0" xfId="1" applyNumberFormat="1" applyFont="1" applyBorder="1" applyAlignment="1"/>
    <xf numFmtId="49" fontId="5" fillId="0" borderId="3"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0" fontId="13" fillId="0" borderId="0" xfId="1" applyFont="1" applyBorder="1" applyAlignment="1">
      <alignment horizontal="center"/>
    </xf>
    <xf numFmtId="0" fontId="5" fillId="0" borderId="0" xfId="1" applyFont="1" applyFill="1" applyAlignment="1">
      <alignment horizontal="left" vertical="center"/>
    </xf>
    <xf numFmtId="0" fontId="5" fillId="0" borderId="0" xfId="1" applyFont="1" applyFill="1" applyAlignment="1">
      <alignment horizontal="center" vertical="center"/>
    </xf>
    <xf numFmtId="0" fontId="5" fillId="0" borderId="5"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0" xfId="1" applyFont="1" applyFill="1" applyAlignment="1">
      <alignment horizontal="left" vertical="top" wrapText="1"/>
    </xf>
    <xf numFmtId="49" fontId="5" fillId="0" borderId="1" xfId="1" applyNumberFormat="1" applyFont="1" applyFill="1" applyBorder="1" applyAlignment="1">
      <alignment horizontal="left" vertical="top" wrapText="1"/>
    </xf>
    <xf numFmtId="2" fontId="5" fillId="0" borderId="1" xfId="1" applyNumberFormat="1" applyFont="1" applyFill="1" applyBorder="1" applyAlignment="1">
      <alignment horizontal="left" vertical="top" wrapText="1"/>
    </xf>
    <xf numFmtId="0" fontId="5" fillId="0" borderId="0" xfId="1" applyFont="1" applyFill="1" applyAlignment="1">
      <alignment horizontal="right" vertical="center"/>
    </xf>
    <xf numFmtId="0" fontId="5" fillId="0" borderId="5" xfId="1" applyFont="1" applyFill="1" applyBorder="1" applyAlignment="1">
      <alignment horizontal="right" vertical="center"/>
    </xf>
    <xf numFmtId="0" fontId="5" fillId="0" borderId="0" xfId="1" applyFont="1" applyFill="1" applyAlignment="1">
      <alignment horizontal="left" vertical="center" wrapText="1"/>
    </xf>
    <xf numFmtId="0" fontId="5" fillId="0" borderId="0" xfId="1" applyFont="1"/>
    <xf numFmtId="0" fontId="7" fillId="0" borderId="0" xfId="1" applyFont="1" applyAlignment="1">
      <alignment horizontal="center"/>
    </xf>
    <xf numFmtId="0" fontId="5" fillId="0" borderId="1" xfId="1" applyFont="1" applyBorder="1" applyAlignment="1">
      <alignment horizontal="center" vertical="top"/>
    </xf>
    <xf numFmtId="0" fontId="7" fillId="0" borderId="0" xfId="0" applyFont="1" applyAlignment="1">
      <alignment horizontal="center"/>
    </xf>
    <xf numFmtId="49" fontId="9" fillId="0" borderId="1" xfId="1" applyNumberFormat="1" applyFont="1" applyFill="1" applyBorder="1" applyAlignment="1">
      <alignment horizontal="center"/>
    </xf>
    <xf numFmtId="49" fontId="5" fillId="0" borderId="1" xfId="1" applyNumberFormat="1" applyFont="1" applyFill="1" applyBorder="1" applyAlignment="1">
      <alignment horizontal="center"/>
    </xf>
    <xf numFmtId="0" fontId="5" fillId="0" borderId="1" xfId="1" applyNumberFormat="1" applyFont="1" applyFill="1" applyBorder="1" applyAlignment="1">
      <alignment horizontal="center"/>
    </xf>
    <xf numFmtId="0" fontId="9" fillId="0" borderId="0" xfId="1" applyFont="1" applyFill="1" applyBorder="1" applyAlignment="1">
      <alignment horizontal="right"/>
    </xf>
    <xf numFmtId="49" fontId="9" fillId="0" borderId="1" xfId="1" applyNumberFormat="1" applyFont="1" applyFill="1" applyBorder="1" applyAlignment="1">
      <alignment horizontal="left"/>
    </xf>
    <xf numFmtId="14" fontId="5" fillId="0" borderId="3" xfId="1" applyNumberFormat="1" applyFont="1" applyFill="1" applyBorder="1" applyAlignment="1">
      <alignment horizontal="center" vertical="center"/>
    </xf>
    <xf numFmtId="14" fontId="5" fillId="0" borderId="6" xfId="1" applyNumberFormat="1" applyFont="1" applyFill="1" applyBorder="1" applyAlignment="1">
      <alignment horizontal="center" vertical="center"/>
    </xf>
    <xf numFmtId="14" fontId="5" fillId="0" borderId="4" xfId="1" applyNumberFormat="1" applyFont="1" applyFill="1" applyBorder="1" applyAlignment="1">
      <alignment horizontal="center" vertical="center"/>
    </xf>
    <xf numFmtId="49" fontId="5" fillId="0" borderId="3" xfId="1" applyNumberFormat="1" applyFont="1" applyFill="1" applyBorder="1" applyAlignment="1">
      <alignment horizontal="center"/>
    </xf>
    <xf numFmtId="49" fontId="5" fillId="0" borderId="6" xfId="1" applyNumberFormat="1" applyFont="1" applyFill="1" applyBorder="1" applyAlignment="1">
      <alignment horizontal="center"/>
    </xf>
    <xf numFmtId="49" fontId="5" fillId="0" borderId="4" xfId="1" applyNumberFormat="1" applyFont="1" applyFill="1" applyBorder="1" applyAlignment="1">
      <alignment horizontal="center"/>
    </xf>
    <xf numFmtId="0" fontId="5" fillId="0" borderId="0" xfId="1" applyFont="1" applyAlignment="1">
      <alignment horizontal="right"/>
    </xf>
    <xf numFmtId="0" fontId="5" fillId="0" borderId="1" xfId="1" applyFont="1" applyFill="1" applyBorder="1" applyAlignment="1">
      <alignment horizontal="left" vertical="center" wrapText="1"/>
    </xf>
    <xf numFmtId="0" fontId="5" fillId="0" borderId="0" xfId="1" applyFont="1" applyFill="1" applyBorder="1" applyAlignment="1">
      <alignment horizontal="center" vertical="center"/>
    </xf>
    <xf numFmtId="49" fontId="5" fillId="3" borderId="3" xfId="1" applyNumberFormat="1" applyFont="1" applyFill="1" applyBorder="1" applyAlignment="1">
      <alignment horizontal="center" vertical="center"/>
    </xf>
    <xf numFmtId="49" fontId="5" fillId="3" borderId="6"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xf>
    <xf numFmtId="0" fontId="5" fillId="0" borderId="0" xfId="1" applyFont="1" applyFill="1" applyAlignment="1">
      <alignment horizontal="center"/>
    </xf>
    <xf numFmtId="0" fontId="5" fillId="0" borderId="5" xfId="1" applyFont="1" applyFill="1" applyBorder="1" applyAlignment="1">
      <alignment horizontal="center"/>
    </xf>
    <xf numFmtId="0" fontId="5" fillId="3" borderId="6" xfId="1" applyFont="1" applyFill="1" applyBorder="1" applyAlignment="1">
      <alignment horizontal="left" vertical="center"/>
    </xf>
    <xf numFmtId="0" fontId="4" fillId="0" borderId="0" xfId="1" applyFont="1" applyFill="1" applyAlignment="1">
      <alignment horizontal="left"/>
    </xf>
    <xf numFmtId="49" fontId="5" fillId="0" borderId="1" xfId="1" applyNumberFormat="1" applyFont="1" applyFill="1" applyBorder="1" applyAlignment="1">
      <alignment horizontal="left"/>
    </xf>
    <xf numFmtId="0" fontId="6" fillId="0" borderId="0" xfId="1" applyFont="1" applyBorder="1" applyAlignment="1">
      <alignment horizontal="center" vertical="top"/>
    </xf>
    <xf numFmtId="0" fontId="5" fillId="0" borderId="0" xfId="1" applyFont="1" applyBorder="1" applyAlignment="1">
      <alignment horizontal="right"/>
    </xf>
    <xf numFmtId="0" fontId="5" fillId="0" borderId="1" xfId="1" applyFont="1" applyFill="1" applyBorder="1" applyAlignment="1">
      <alignment horizontal="center"/>
    </xf>
    <xf numFmtId="0" fontId="6" fillId="0" borderId="0" xfId="1" applyFont="1" applyBorder="1" applyAlignment="1">
      <alignment horizontal="center" vertical="top" wrapText="1"/>
    </xf>
    <xf numFmtId="0" fontId="4" fillId="0" borderId="0" xfId="1" applyFont="1" applyAlignment="1">
      <alignment horizontal="left"/>
    </xf>
    <xf numFmtId="0" fontId="4" fillId="0" borderId="0" xfId="1" applyFont="1" applyAlignment="1">
      <alignment horizontal="left" wrapText="1"/>
    </xf>
    <xf numFmtId="0" fontId="5" fillId="0" borderId="0" xfId="1" applyFont="1" applyAlignment="1">
      <alignment horizontal="center"/>
    </xf>
    <xf numFmtId="49" fontId="9" fillId="0" borderId="2"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9" fillId="0" borderId="4" xfId="1" applyNumberFormat="1" applyFont="1" applyBorder="1" applyAlignment="1">
      <alignment horizontal="center" vertical="center"/>
    </xf>
    <xf numFmtId="0" fontId="9" fillId="0" borderId="2" xfId="1" applyNumberFormat="1" applyFont="1" applyBorder="1" applyAlignment="1">
      <alignment horizontal="center" vertical="center"/>
    </xf>
    <xf numFmtId="4" fontId="9" fillId="0" borderId="3" xfId="1" applyNumberFormat="1" applyFont="1" applyBorder="1" applyAlignment="1">
      <alignment horizontal="center" vertical="center"/>
    </xf>
    <xf numFmtId="4" fontId="9" fillId="0" borderId="6" xfId="1" applyNumberFormat="1" applyFont="1" applyBorder="1" applyAlignment="1">
      <alignment horizontal="center" vertical="center"/>
    </xf>
    <xf numFmtId="4" fontId="9" fillId="0" borderId="4" xfId="1" applyNumberFormat="1" applyFont="1" applyBorder="1" applyAlignment="1">
      <alignment horizontal="center" vertical="center"/>
    </xf>
    <xf numFmtId="0" fontId="5" fillId="0" borderId="3" xfId="1" applyNumberFormat="1" applyFont="1" applyBorder="1" applyAlignment="1">
      <alignment horizontal="center" vertical="center"/>
    </xf>
    <xf numFmtId="0" fontId="5" fillId="0" borderId="6" xfId="1" applyNumberFormat="1" applyFont="1" applyBorder="1" applyAlignment="1">
      <alignment horizontal="center" vertical="center"/>
    </xf>
    <xf numFmtId="0" fontId="5" fillId="0" borderId="4" xfId="1" applyNumberFormat="1" applyFont="1" applyBorder="1" applyAlignment="1">
      <alignment horizontal="center" vertical="center"/>
    </xf>
    <xf numFmtId="0" fontId="5" fillId="0" borderId="3"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4" xfId="1" applyNumberFormat="1" applyFont="1" applyBorder="1" applyAlignment="1">
      <alignment horizontal="center" vertical="center" wrapText="1"/>
    </xf>
    <xf numFmtId="4" fontId="5" fillId="0" borderId="3" xfId="1" applyNumberFormat="1" applyFont="1" applyBorder="1" applyAlignment="1">
      <alignment horizontal="center" vertical="center"/>
    </xf>
    <xf numFmtId="4" fontId="5" fillId="0" borderId="6" xfId="1" applyNumberFormat="1" applyFont="1" applyBorder="1" applyAlignment="1">
      <alignment horizontal="center" vertical="center"/>
    </xf>
    <xf numFmtId="4" fontId="5" fillId="0" borderId="4" xfId="1" applyNumberFormat="1" applyFont="1" applyBorder="1" applyAlignment="1">
      <alignment horizontal="center" vertical="center"/>
    </xf>
    <xf numFmtId="0" fontId="5" fillId="0" borderId="2" xfId="1" applyNumberFormat="1" applyFont="1" applyBorder="1" applyAlignment="1">
      <alignment horizontal="center" vertical="top"/>
    </xf>
    <xf numFmtId="0" fontId="5" fillId="0" borderId="3" xfId="1" applyNumberFormat="1" applyFont="1" applyBorder="1" applyAlignment="1">
      <alignment horizontal="center" vertical="top"/>
    </xf>
    <xf numFmtId="0" fontId="5" fillId="0" borderId="6" xfId="1" applyNumberFormat="1" applyFont="1" applyBorder="1" applyAlignment="1">
      <alignment horizontal="center" vertical="top"/>
    </xf>
    <xf numFmtId="0" fontId="5" fillId="0" borderId="4" xfId="1" applyNumberFormat="1" applyFont="1" applyBorder="1" applyAlignment="1">
      <alignment horizontal="center" vertical="top"/>
    </xf>
    <xf numFmtId="49" fontId="7" fillId="0" borderId="0" xfId="1" applyNumberFormat="1" applyFont="1" applyBorder="1" applyAlignment="1">
      <alignment horizontal="left" vertical="center"/>
    </xf>
    <xf numFmtId="164" fontId="7" fillId="0" borderId="0" xfId="2" applyNumberFormat="1" applyFont="1" applyBorder="1" applyAlignment="1">
      <alignment horizontal="left" vertical="center"/>
    </xf>
    <xf numFmtId="0" fontId="35" fillId="0" borderId="0" xfId="1" applyNumberFormat="1" applyFont="1" applyBorder="1" applyAlignment="1">
      <alignment horizontal="left"/>
    </xf>
    <xf numFmtId="0" fontId="5" fillId="0" borderId="9" xfId="1" applyNumberFormat="1" applyFont="1" applyBorder="1" applyAlignment="1">
      <alignment horizontal="center" vertical="center" wrapText="1"/>
    </xf>
    <xf numFmtId="0" fontId="5" fillId="0" borderId="15" xfId="1" applyNumberFormat="1" applyFont="1" applyBorder="1" applyAlignment="1">
      <alignment horizontal="center" vertical="center" wrapText="1"/>
    </xf>
    <xf numFmtId="0" fontId="5" fillId="0" borderId="10" xfId="1" applyNumberFormat="1" applyFont="1" applyBorder="1" applyAlignment="1">
      <alignment horizontal="center" vertical="center" wrapText="1"/>
    </xf>
    <xf numFmtId="49" fontId="9" fillId="0" borderId="3" xfId="1" applyNumberFormat="1" applyFont="1" applyBorder="1" applyAlignment="1">
      <alignment horizontal="right" vertical="center"/>
    </xf>
    <xf numFmtId="49" fontId="9" fillId="0" borderId="6" xfId="1" applyNumberFormat="1" applyFont="1" applyBorder="1" applyAlignment="1">
      <alignment horizontal="right" vertical="center"/>
    </xf>
    <xf numFmtId="49" fontId="9" fillId="0" borderId="4" xfId="1" applyNumberFormat="1" applyFont="1" applyBorder="1" applyAlignment="1">
      <alignment horizontal="right" vertical="center"/>
    </xf>
    <xf numFmtId="4" fontId="9" fillId="0" borderId="2" xfId="1" applyNumberFormat="1" applyFont="1" applyBorder="1" applyAlignment="1">
      <alignment horizontal="center" vertical="center"/>
    </xf>
    <xf numFmtId="49" fontId="5" fillId="0" borderId="2" xfId="1" applyNumberFormat="1" applyFont="1" applyBorder="1" applyAlignment="1">
      <alignment horizontal="center" vertical="center"/>
    </xf>
    <xf numFmtId="0" fontId="5" fillId="0" borderId="6" xfId="1" applyNumberFormat="1" applyFont="1" applyBorder="1" applyAlignment="1">
      <alignment horizontal="left" vertical="center" wrapText="1"/>
    </xf>
    <xf numFmtId="0" fontId="5" fillId="0" borderId="4" xfId="1" applyNumberFormat="1" applyFont="1" applyBorder="1" applyAlignment="1">
      <alignment horizontal="left" vertical="center" wrapText="1"/>
    </xf>
    <xf numFmtId="167" fontId="5" fillId="0" borderId="2" xfId="1" applyNumberFormat="1" applyFont="1" applyBorder="1" applyAlignment="1">
      <alignment horizontal="center" vertical="center"/>
    </xf>
    <xf numFmtId="0" fontId="5" fillId="0" borderId="2" xfId="1" applyNumberFormat="1" applyFont="1" applyBorder="1" applyAlignment="1">
      <alignment horizontal="center" vertical="center"/>
    </xf>
    <xf numFmtId="4" fontId="5" fillId="0" borderId="2" xfId="1" applyNumberFormat="1" applyFont="1" applyBorder="1" applyAlignment="1">
      <alignment horizontal="center" vertical="center"/>
    </xf>
    <xf numFmtId="4" fontId="9" fillId="0" borderId="0" xfId="1" applyNumberFormat="1" applyFont="1" applyBorder="1" applyAlignment="1">
      <alignment horizontal="center" vertical="center"/>
    </xf>
    <xf numFmtId="49" fontId="35" fillId="0" borderId="1" xfId="1" applyNumberFormat="1" applyFont="1" applyBorder="1" applyAlignment="1">
      <alignment horizontal="center"/>
    </xf>
    <xf numFmtId="0" fontId="5" fillId="0" borderId="2" xfId="1" applyNumberFormat="1" applyFont="1" applyBorder="1" applyAlignment="1">
      <alignment horizontal="center" vertical="center" wrapText="1"/>
    </xf>
    <xf numFmtId="167" fontId="9" fillId="0" borderId="2" xfId="2" applyFont="1" applyBorder="1" applyAlignment="1">
      <alignment horizontal="center" vertical="center"/>
    </xf>
    <xf numFmtId="167" fontId="9" fillId="0" borderId="2" xfId="2" applyFont="1" applyBorder="1" applyAlignment="1">
      <alignment vertical="center"/>
    </xf>
    <xf numFmtId="2" fontId="9" fillId="0" borderId="2" xfId="1" applyNumberFormat="1" applyFont="1" applyBorder="1" applyAlignment="1">
      <alignment horizontal="center" vertical="center"/>
    </xf>
    <xf numFmtId="167" fontId="5" fillId="0" borderId="2" xfId="2" applyFont="1" applyFill="1" applyBorder="1" applyAlignment="1">
      <alignment horizontal="center" vertical="center"/>
    </xf>
    <xf numFmtId="167" fontId="5" fillId="0" borderId="2" xfId="2" applyFont="1" applyFill="1" applyBorder="1" applyAlignment="1">
      <alignment vertical="center"/>
    </xf>
    <xf numFmtId="4" fontId="39" fillId="0" borderId="3" xfId="1" applyNumberFormat="1" applyFont="1" applyBorder="1" applyAlignment="1">
      <alignment horizontal="center" vertical="center"/>
    </xf>
    <xf numFmtId="4" fontId="39" fillId="0" borderId="6" xfId="1" applyNumberFormat="1" applyFont="1" applyBorder="1" applyAlignment="1">
      <alignment horizontal="center" vertical="center"/>
    </xf>
    <xf numFmtId="4" fontId="39" fillId="0" borderId="4" xfId="1" applyNumberFormat="1" applyFont="1" applyBorder="1" applyAlignment="1">
      <alignment horizontal="center" vertical="center"/>
    </xf>
    <xf numFmtId="2" fontId="5" fillId="0" borderId="2" xfId="1" applyNumberFormat="1" applyFont="1" applyFill="1" applyBorder="1" applyAlignment="1">
      <alignment horizontal="center" vertical="center"/>
    </xf>
    <xf numFmtId="167" fontId="9" fillId="0" borderId="2" xfId="2" applyFont="1" applyFill="1" applyBorder="1" applyAlignment="1">
      <alignment horizontal="center" vertical="center"/>
    </xf>
    <xf numFmtId="167" fontId="9" fillId="0" borderId="2" xfId="2" applyFont="1" applyFill="1" applyBorder="1" applyAlignment="1">
      <alignment vertical="center"/>
    </xf>
    <xf numFmtId="2" fontId="9" fillId="0" borderId="2" xfId="1" applyNumberFormat="1" applyFont="1" applyFill="1" applyBorder="1" applyAlignment="1">
      <alignment horizontal="center" vertical="center"/>
    </xf>
    <xf numFmtId="0" fontId="9" fillId="0" borderId="2" xfId="1" applyNumberFormat="1" applyFont="1" applyFill="1" applyBorder="1" applyAlignment="1">
      <alignment horizontal="center" vertical="center"/>
    </xf>
    <xf numFmtId="0" fontId="5" fillId="0" borderId="2" xfId="1" applyNumberFormat="1" applyFont="1" applyBorder="1" applyAlignment="1">
      <alignment horizontal="left" vertical="center" wrapText="1"/>
    </xf>
    <xf numFmtId="0" fontId="5" fillId="0" borderId="2" xfId="1" applyNumberFormat="1" applyFont="1" applyFill="1" applyBorder="1" applyAlignment="1">
      <alignment horizontal="center" vertical="center"/>
    </xf>
    <xf numFmtId="0" fontId="34" fillId="0" borderId="0" xfId="1" applyNumberFormat="1" applyFont="1" applyBorder="1" applyAlignment="1">
      <alignment horizontal="center"/>
    </xf>
    <xf numFmtId="0" fontId="7" fillId="0" borderId="1" xfId="1" applyNumberFormat="1" applyFont="1" applyBorder="1" applyAlignment="1">
      <alignment horizontal="left"/>
    </xf>
    <xf numFmtId="0" fontId="35" fillId="0" borderId="0" xfId="1" applyNumberFormat="1" applyFont="1" applyBorder="1" applyAlignment="1">
      <alignment horizontal="center"/>
    </xf>
    <xf numFmtId="4" fontId="24" fillId="2"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xf numFmtId="0" fontId="16" fillId="2" borderId="2" xfId="0"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2" xfId="0" applyFont="1" applyFill="1" applyBorder="1" applyAlignment="1">
      <alignment horizontal="center" vertical="center" wrapText="1"/>
    </xf>
    <xf numFmtId="0" fontId="8" fillId="0" borderId="0" xfId="0" applyFont="1"/>
    <xf numFmtId="4" fontId="5" fillId="0" borderId="3" xfId="1" applyNumberFormat="1" applyFont="1" applyBorder="1" applyAlignment="1">
      <alignment horizontal="center"/>
    </xf>
    <xf numFmtId="4" fontId="5" fillId="0" borderId="6" xfId="1" applyNumberFormat="1" applyFont="1" applyBorder="1" applyAlignment="1">
      <alignment horizontal="center"/>
    </xf>
    <xf numFmtId="4" fontId="5" fillId="0" borderId="4" xfId="1" applyNumberFormat="1" applyFont="1" applyBorder="1" applyAlignment="1">
      <alignment horizontal="center"/>
    </xf>
    <xf numFmtId="4" fontId="16" fillId="0" borderId="2" xfId="0" applyNumberFormat="1" applyFont="1" applyFill="1" applyBorder="1" applyAlignment="1">
      <alignment vertical="center" wrapText="1"/>
    </xf>
    <xf numFmtId="49" fontId="25" fillId="4" borderId="2" xfId="0" applyNumberFormat="1" applyFont="1" applyFill="1" applyBorder="1" applyAlignment="1">
      <alignment horizontal="center" vertical="center" wrapText="1"/>
    </xf>
    <xf numFmtId="0" fontId="16" fillId="0" borderId="2" xfId="0" applyFont="1" applyBorder="1" applyAlignment="1">
      <alignment horizontal="left" vertical="center" wrapText="1"/>
    </xf>
    <xf numFmtId="0" fontId="16" fillId="3" borderId="2" xfId="0" applyFont="1" applyFill="1" applyBorder="1" applyAlignment="1">
      <alignment horizontal="center" vertical="center" wrapText="1"/>
    </xf>
    <xf numFmtId="0" fontId="16" fillId="0" borderId="0" xfId="0" applyFont="1" applyAlignment="1">
      <alignment wrapText="1"/>
    </xf>
    <xf numFmtId="0" fontId="24" fillId="3" borderId="2" xfId="0" applyFont="1" applyFill="1" applyBorder="1" applyAlignment="1">
      <alignment horizontal="left" vertical="center" wrapText="1"/>
    </xf>
    <xf numFmtId="0" fontId="16" fillId="3" borderId="2" xfId="0" applyFont="1" applyFill="1" applyBorder="1" applyAlignment="1">
      <alignment horizontal="left" vertical="center" wrapText="1"/>
    </xf>
    <xf numFmtId="4"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4" fontId="16" fillId="3" borderId="2" xfId="0" applyNumberFormat="1" applyFont="1" applyFill="1" applyBorder="1" applyAlignment="1">
      <alignment horizontal="center" vertical="center" wrapText="1"/>
    </xf>
    <xf numFmtId="4" fontId="16" fillId="3"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6" fillId="3" borderId="2" xfId="0" applyNumberFormat="1" applyFont="1" applyFill="1" applyBorder="1" applyAlignment="1">
      <alignment horizontal="center" vertical="center" wrapText="1"/>
    </xf>
    <xf numFmtId="4" fontId="16" fillId="2" borderId="2" xfId="0" applyNumberFormat="1" applyFont="1" applyFill="1" applyBorder="1" applyAlignment="1">
      <alignment vertical="center" wrapText="1"/>
    </xf>
    <xf numFmtId="4" fontId="16" fillId="0" borderId="2" xfId="0" applyNumberFormat="1" applyFont="1" applyBorder="1" applyAlignment="1">
      <alignment vertical="center" wrapText="1"/>
    </xf>
    <xf numFmtId="49" fontId="16" fillId="0" borderId="2" xfId="0" applyNumberFormat="1" applyFont="1" applyBorder="1" applyAlignment="1">
      <alignment horizontal="center" vertical="center" wrapText="1"/>
    </xf>
    <xf numFmtId="0" fontId="16" fillId="0" borderId="7" xfId="0" applyFont="1" applyBorder="1" applyAlignment="1">
      <alignment horizontal="left" vertical="center" wrapText="1"/>
    </xf>
    <xf numFmtId="0" fontId="0" fillId="0" borderId="14" xfId="0" applyBorder="1"/>
    <xf numFmtId="0" fontId="0" fillId="0" borderId="8" xfId="0" applyBorder="1"/>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14" xfId="0" applyFont="1" applyFill="1" applyBorder="1" applyAlignment="1">
      <alignment horizontal="left" vertical="center" wrapText="1"/>
    </xf>
    <xf numFmtId="49" fontId="25" fillId="4" borderId="3" xfId="0" applyNumberFormat="1" applyFont="1" applyFill="1" applyBorder="1" applyAlignment="1">
      <alignment horizontal="center" vertical="center" wrapText="1"/>
    </xf>
    <xf numFmtId="49" fontId="25" fillId="4" borderId="6" xfId="0" applyNumberFormat="1" applyFont="1" applyFill="1" applyBorder="1" applyAlignment="1">
      <alignment horizontal="center" vertical="center" wrapText="1"/>
    </xf>
    <xf numFmtId="49" fontId="25" fillId="4" borderId="4" xfId="0" applyNumberFormat="1" applyFont="1" applyFill="1" applyBorder="1" applyAlignment="1">
      <alignment horizontal="center" vertical="center" wrapText="1"/>
    </xf>
    <xf numFmtId="0" fontId="5" fillId="0" borderId="13" xfId="1" applyFont="1" applyBorder="1" applyAlignment="1">
      <alignment horizontal="center"/>
    </xf>
    <xf numFmtId="0" fontId="24" fillId="0" borderId="1" xfId="0" applyFont="1" applyBorder="1" applyAlignment="1">
      <alignment horizontal="center" vertical="center"/>
    </xf>
    <xf numFmtId="4" fontId="5" fillId="0" borderId="2" xfId="1" applyNumberFormat="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5" fillId="0" borderId="6" xfId="1" applyFont="1" applyBorder="1" applyAlignment="1">
      <alignment horizontal="center"/>
    </xf>
    <xf numFmtId="0" fontId="5" fillId="0" borderId="4" xfId="1" applyFont="1" applyBorder="1" applyAlignment="1">
      <alignment horizontal="center"/>
    </xf>
    <xf numFmtId="3" fontId="5" fillId="0" borderId="3" xfId="1" applyNumberFormat="1" applyFont="1" applyBorder="1" applyAlignment="1">
      <alignment horizontal="center"/>
    </xf>
    <xf numFmtId="3" fontId="5" fillId="0" borderId="6" xfId="1" applyNumberFormat="1" applyFont="1" applyBorder="1" applyAlignment="1">
      <alignment horizontal="center"/>
    </xf>
    <xf numFmtId="3" fontId="5" fillId="0" borderId="4" xfId="1" applyNumberFormat="1" applyFont="1" applyBorder="1" applyAlignment="1">
      <alignment horizontal="center"/>
    </xf>
    <xf numFmtId="4" fontId="9" fillId="3" borderId="3" xfId="1" applyNumberFormat="1" applyFont="1" applyFill="1" applyBorder="1" applyAlignment="1">
      <alignment horizontal="center"/>
    </xf>
    <xf numFmtId="4" fontId="9" fillId="3" borderId="6" xfId="1" applyNumberFormat="1" applyFont="1" applyFill="1" applyBorder="1" applyAlignment="1">
      <alignment horizontal="center"/>
    </xf>
    <xf numFmtId="4" fontId="9" fillId="3" borderId="4" xfId="1" applyNumberFormat="1" applyFont="1" applyFill="1" applyBorder="1" applyAlignment="1">
      <alignment horizontal="center"/>
    </xf>
    <xf numFmtId="4" fontId="9" fillId="0" borderId="2" xfId="1" applyNumberFormat="1" applyFont="1" applyBorder="1" applyAlignment="1">
      <alignment horizontal="center"/>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4" fontId="5" fillId="0" borderId="0" xfId="1" applyNumberFormat="1" applyFont="1" applyAlignment="1">
      <alignment horizontal="center"/>
    </xf>
    <xf numFmtId="4" fontId="16" fillId="3" borderId="7" xfId="0" applyNumberFormat="1" applyFont="1" applyFill="1" applyBorder="1" applyAlignment="1">
      <alignment horizontal="center" vertical="center" wrapText="1"/>
    </xf>
    <xf numFmtId="4" fontId="16" fillId="3" borderId="8" xfId="0" applyNumberFormat="1" applyFont="1" applyFill="1" applyBorder="1" applyAlignment="1">
      <alignment horizontal="center" vertical="center" wrapText="1"/>
    </xf>
    <xf numFmtId="0" fontId="5" fillId="0" borderId="2" xfId="1" applyFont="1" applyBorder="1" applyAlignment="1">
      <alignment horizontal="center" vertical="center"/>
    </xf>
    <xf numFmtId="0" fontId="5" fillId="3" borderId="2" xfId="1" applyFont="1" applyFill="1" applyBorder="1" applyAlignment="1">
      <alignment horizontal="center" vertical="center"/>
    </xf>
    <xf numFmtId="0" fontId="16" fillId="0" borderId="2" xfId="0" applyFont="1" applyBorder="1" applyAlignment="1">
      <alignment horizontal="left" wrapText="1"/>
    </xf>
    <xf numFmtId="0" fontId="24" fillId="0" borderId="1" xfId="0" applyFont="1" applyBorder="1" applyAlignment="1">
      <alignment horizontal="center" vertical="center" wrapText="1"/>
    </xf>
    <xf numFmtId="0" fontId="5" fillId="0" borderId="2" xfId="1" applyFont="1" applyBorder="1" applyAlignment="1">
      <alignment horizontal="center" vertical="center" wrapText="1"/>
    </xf>
    <xf numFmtId="0" fontId="18" fillId="0" borderId="0" xfId="0" applyFont="1" applyAlignment="1">
      <alignment horizontal="left" vertical="center" wrapText="1"/>
    </xf>
    <xf numFmtId="14" fontId="9" fillId="3" borderId="2" xfId="1" applyNumberFormat="1" applyFont="1" applyFill="1" applyBorder="1" applyAlignment="1">
      <alignment horizontal="center" vertical="center"/>
    </xf>
    <xf numFmtId="0" fontId="9" fillId="3" borderId="2" xfId="1" applyFont="1" applyFill="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4" fontId="16" fillId="0" borderId="7" xfId="0" applyNumberFormat="1" applyFont="1" applyBorder="1" applyAlignment="1">
      <alignment horizontal="center" vertical="center" wrapText="1"/>
    </xf>
    <xf numFmtId="4" fontId="16" fillId="0" borderId="8" xfId="0" applyNumberFormat="1" applyFont="1" applyBorder="1" applyAlignment="1">
      <alignment horizontal="center" vertical="center" wrapText="1"/>
    </xf>
    <xf numFmtId="0" fontId="8" fillId="0" borderId="0" xfId="1" applyFont="1" applyAlignment="1">
      <alignment horizontal="left" wrapText="1"/>
    </xf>
    <xf numFmtId="0" fontId="8" fillId="0" borderId="0" xfId="1" applyFont="1" applyAlignment="1">
      <alignment horizontal="left"/>
    </xf>
    <xf numFmtId="0" fontId="20" fillId="0" borderId="2" xfId="0" applyFont="1" applyBorder="1" applyAlignment="1">
      <alignment horizontal="center" vertical="center" wrapText="1"/>
    </xf>
    <xf numFmtId="0" fontId="23" fillId="0" borderId="0" xfId="0" applyFont="1" applyAlignment="1">
      <alignment horizontal="center" wrapText="1"/>
    </xf>
    <xf numFmtId="0" fontId="23" fillId="0" borderId="0" xfId="0" applyFont="1" applyAlignment="1">
      <alignment horizontal="right" vertical="center" wrapText="1"/>
    </xf>
    <xf numFmtId="166" fontId="23" fillId="0" borderId="0" xfId="0" applyNumberFormat="1" applyFont="1" applyAlignment="1">
      <alignment horizontal="center" vertical="center" wrapText="1"/>
    </xf>
    <xf numFmtId="0" fontId="15" fillId="0" borderId="1" xfId="0" applyFont="1" applyBorder="1" applyAlignment="1">
      <alignment horizontal="left" vertical="center"/>
    </xf>
    <xf numFmtId="0" fontId="15" fillId="0" borderId="0" xfId="0" applyFont="1" applyFill="1" applyAlignment="1">
      <alignment horizontal="left" vertical="center"/>
    </xf>
    <xf numFmtId="0" fontId="15" fillId="0" borderId="1" xfId="0" applyFont="1" applyFill="1" applyBorder="1" applyAlignment="1">
      <alignment horizontal="left" vertical="center"/>
    </xf>
    <xf numFmtId="0" fontId="14" fillId="0" borderId="0" xfId="0" applyFont="1" applyFill="1" applyAlignment="1">
      <alignment horizontal="left" vertical="center"/>
    </xf>
    <xf numFmtId="0" fontId="15" fillId="0" borderId="0" xfId="0" applyFont="1" applyAlignment="1">
      <alignment horizontal="left" vertical="center"/>
    </xf>
    <xf numFmtId="0" fontId="31" fillId="0" borderId="0" xfId="0" applyFont="1" applyAlignment="1">
      <alignment horizontal="left" vertical="top"/>
    </xf>
    <xf numFmtId="0" fontId="31" fillId="0" borderId="15" xfId="0" applyFont="1" applyBorder="1" applyAlignment="1">
      <alignment horizontal="left" vertical="top"/>
    </xf>
    <xf numFmtId="166" fontId="2" fillId="0" borderId="0" xfId="0" applyNumberFormat="1" applyFont="1" applyAlignment="1">
      <alignment horizontal="center" vertical="center" wrapText="1"/>
    </xf>
    <xf numFmtId="0" fontId="25" fillId="5" borderId="2" xfId="0" applyFont="1" applyFill="1" applyBorder="1" applyAlignment="1">
      <alignment vertical="center" wrapText="1"/>
    </xf>
    <xf numFmtId="49" fontId="25" fillId="5" borderId="2" xfId="0" applyNumberFormat="1" applyFont="1" applyFill="1" applyBorder="1" applyAlignment="1">
      <alignment horizontal="center" vertical="center" wrapText="1"/>
    </xf>
    <xf numFmtId="4" fontId="25" fillId="5" borderId="2" xfId="0" applyNumberFormat="1" applyFont="1" applyFill="1" applyBorder="1" applyAlignment="1">
      <alignment horizontal="center" vertical="center" wrapText="1"/>
    </xf>
    <xf numFmtId="4" fontId="30" fillId="5" borderId="0" xfId="1" applyNumberFormat="1" applyFont="1" applyFill="1"/>
    <xf numFmtId="4" fontId="9" fillId="5" borderId="2" xfId="1" applyNumberFormat="1" applyFont="1" applyFill="1" applyBorder="1" applyAlignment="1">
      <alignment horizontal="center"/>
    </xf>
    <xf numFmtId="0" fontId="9" fillId="5" borderId="2" xfId="1" applyFont="1" applyFill="1" applyBorder="1" applyAlignment="1">
      <alignment horizontal="center"/>
    </xf>
    <xf numFmtId="4" fontId="9" fillId="5" borderId="3" xfId="1" applyNumberFormat="1" applyFont="1" applyFill="1" applyBorder="1" applyAlignment="1">
      <alignment horizontal="center"/>
    </xf>
    <xf numFmtId="4" fontId="9" fillId="5" borderId="6" xfId="1" applyNumberFormat="1" applyFont="1" applyFill="1" applyBorder="1" applyAlignment="1">
      <alignment horizontal="center"/>
    </xf>
    <xf numFmtId="4" fontId="9" fillId="5" borderId="4" xfId="1" applyNumberFormat="1" applyFont="1" applyFill="1" applyBorder="1" applyAlignment="1">
      <alignment horizontal="center"/>
    </xf>
    <xf numFmtId="0" fontId="9" fillId="5" borderId="2" xfId="1" applyFont="1" applyFill="1" applyBorder="1"/>
    <xf numFmtId="0" fontId="9" fillId="5" borderId="0" xfId="1" applyFont="1" applyFill="1"/>
    <xf numFmtId="0" fontId="30" fillId="5" borderId="0" xfId="1" applyFont="1" applyFill="1"/>
    <xf numFmtId="49" fontId="25" fillId="5" borderId="3" xfId="0" applyNumberFormat="1" applyFont="1" applyFill="1" applyBorder="1" applyAlignment="1">
      <alignment horizontal="center" vertical="center" wrapText="1"/>
    </xf>
    <xf numFmtId="49" fontId="25" fillId="5" borderId="6" xfId="0" applyNumberFormat="1" applyFont="1" applyFill="1" applyBorder="1" applyAlignment="1">
      <alignment horizontal="center" vertical="center" wrapText="1"/>
    </xf>
    <xf numFmtId="49" fontId="25" fillId="5" borderId="4" xfId="0" applyNumberFormat="1" applyFont="1" applyFill="1" applyBorder="1" applyAlignment="1">
      <alignment horizontal="center" vertical="center" wrapText="1"/>
    </xf>
  </cellXfs>
  <cellStyles count="3">
    <cellStyle name="Обычный" xfId="0" builtinId="0"/>
    <cellStyle name="Обычный 2" xfId="1"/>
    <cellStyle name="Финансов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208.5\servdoc\&#1052;&#1041;&#1044;&#1054;&#1059;%20&#8470;2\&#1076;&#1083;&#1103;%20&#1057;&#1072;&#1084;&#1091;&#1096;&#1080;&#1085;&#1086;&#1081;\&#1086;&#1090;%20&#1053;&#1080;&#1082;&#1080;&#1096;&#1080;&#1085;&#1086;&#1081;\&#1055;&#1060;&#1061;&#1044;%202023\14.11.2023\&#1044;&#1054;&#1059;%20&#8470;2%20-%20&#1055;&#1083;&#1072;&#1085;%20&#1060;&#1061;&#1044;%20&#1085;&#1072;%2030.11.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тр.1"/>
      <sheetName val="1"/>
      <sheetName val="Стр.2-8"/>
      <sheetName val="Стр.9-11"/>
      <sheetName val="Стр. 12-14"/>
      <sheetName val="Стр.15"/>
    </sheetNames>
    <sheetDataSet>
      <sheetData sheetId="0"/>
      <sheetData sheetId="1"/>
      <sheetData sheetId="2">
        <row r="112">
          <cell r="H112">
            <v>8500</v>
          </cell>
        </row>
        <row r="113">
          <cell r="H113">
            <v>0</v>
          </cell>
        </row>
        <row r="114">
          <cell r="H114">
            <v>2266959.23</v>
          </cell>
        </row>
        <row r="115">
          <cell r="H115">
            <v>2300000</v>
          </cell>
        </row>
        <row r="116">
          <cell r="H116">
            <v>0</v>
          </cell>
        </row>
        <row r="117">
          <cell r="H117">
            <v>0</v>
          </cell>
        </row>
        <row r="118">
          <cell r="H118">
            <v>600000</v>
          </cell>
        </row>
        <row r="119">
          <cell r="H119">
            <v>15000</v>
          </cell>
        </row>
        <row r="120">
          <cell r="H120">
            <v>18223.38</v>
          </cell>
        </row>
        <row r="121">
          <cell r="H121">
            <v>136970.04</v>
          </cell>
        </row>
        <row r="144">
          <cell r="H144">
            <v>420478.74</v>
          </cell>
        </row>
        <row r="146">
          <cell r="H146">
            <v>3864081.26</v>
          </cell>
        </row>
        <row r="189">
          <cell r="H189">
            <v>0</v>
          </cell>
        </row>
        <row r="224">
          <cell r="H224">
            <v>300000</v>
          </cell>
        </row>
        <row r="225">
          <cell r="H225">
            <v>0</v>
          </cell>
        </row>
        <row r="227">
          <cell r="H227">
            <v>178125</v>
          </cell>
        </row>
        <row r="270">
          <cell r="H270">
            <v>11778</v>
          </cell>
        </row>
        <row r="285">
          <cell r="H285">
            <v>3368884.06</v>
          </cell>
        </row>
        <row r="286">
          <cell r="H286">
            <v>132302.74</v>
          </cell>
        </row>
      </sheetData>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92D050"/>
  </sheetPr>
  <dimension ref="A1:DW34"/>
  <sheetViews>
    <sheetView view="pageBreakPreview" topLeftCell="A7" zoomScaleSheetLayoutView="100" workbookViewId="0">
      <selection activeCell="AF23" sqref="AF23:BZ23"/>
    </sheetView>
  </sheetViews>
  <sheetFormatPr defaultColWidth="0.85546875" defaultRowHeight="12.75"/>
  <cols>
    <col min="1" max="71" width="0.85546875" style="3"/>
    <col min="72" max="72" width="1.7109375" style="3" customWidth="1"/>
    <col min="73" max="100" width="0.85546875" style="3"/>
    <col min="101" max="101" width="0.85546875" style="3" customWidth="1"/>
    <col min="102" max="107" width="0.85546875" style="3"/>
    <col min="108" max="108" width="1.140625" style="3" customWidth="1"/>
    <col min="109" max="126" width="0.85546875" style="3"/>
    <col min="127" max="127" width="36.85546875" style="3" customWidth="1"/>
    <col min="128" max="16384" width="0.85546875" style="3"/>
  </cols>
  <sheetData>
    <row r="1" spans="1:127" ht="0.75" customHeight="1">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row>
    <row r="2" spans="1:127" s="2" customFormat="1" ht="15" customHeight="1">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c r="CQ2" s="352"/>
      <c r="CR2" s="352"/>
      <c r="CS2" s="352"/>
      <c r="CT2" s="352"/>
      <c r="CU2" s="352"/>
      <c r="CV2" s="352"/>
      <c r="CW2" s="352"/>
      <c r="CX2" s="352"/>
      <c r="CY2" s="352"/>
      <c r="CZ2" s="352"/>
      <c r="DA2" s="352"/>
      <c r="DB2" s="352"/>
      <c r="DC2" s="352"/>
      <c r="DD2" s="352"/>
    </row>
    <row r="3" spans="1:127" s="2" customFormat="1" ht="37.5" customHeight="1">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row>
    <row r="4" spans="1:127" s="2" customFormat="1" ht="12.75" customHeight="1">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row>
    <row r="5" spans="1:127" s="2" customFormat="1" ht="11.25" customHeight="1">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row>
    <row r="6" spans="1:127">
      <c r="DW6" s="2"/>
    </row>
    <row r="7" spans="1:127">
      <c r="BE7" s="354" t="s">
        <v>5</v>
      </c>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W7" s="2"/>
    </row>
    <row r="8" spans="1:127">
      <c r="BE8" s="350" t="s">
        <v>276</v>
      </c>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W8" s="2"/>
    </row>
    <row r="9" spans="1:127" s="4" customFormat="1" ht="12.75" customHeight="1">
      <c r="BE9" s="351" t="s">
        <v>15</v>
      </c>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W9" s="2"/>
    </row>
    <row r="10" spans="1:127">
      <c r="BE10" s="350"/>
      <c r="BF10" s="350"/>
      <c r="BG10" s="350"/>
      <c r="BH10" s="350"/>
      <c r="BI10" s="350"/>
      <c r="BJ10" s="350"/>
      <c r="BK10" s="350"/>
      <c r="BL10" s="350"/>
      <c r="BM10" s="350"/>
      <c r="BN10" s="350"/>
      <c r="BO10" s="350"/>
      <c r="BP10" s="350"/>
      <c r="BQ10" s="350"/>
      <c r="BR10" s="350"/>
      <c r="BS10" s="350"/>
      <c r="BT10" s="350"/>
      <c r="BU10" s="350"/>
      <c r="BV10" s="350"/>
      <c r="BW10" s="350"/>
      <c r="BX10" s="350"/>
      <c r="BZ10" s="350" t="s">
        <v>275</v>
      </c>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W10" s="2"/>
    </row>
    <row r="11" spans="1:127" s="4" customFormat="1" ht="12.75" customHeight="1">
      <c r="BE11" s="348" t="s">
        <v>6</v>
      </c>
      <c r="BF11" s="348"/>
      <c r="BG11" s="348"/>
      <c r="BH11" s="348"/>
      <c r="BI11" s="348"/>
      <c r="BJ11" s="348"/>
      <c r="BK11" s="348"/>
      <c r="BL11" s="348"/>
      <c r="BM11" s="348"/>
      <c r="BN11" s="348"/>
      <c r="BO11" s="348"/>
      <c r="BP11" s="348"/>
      <c r="BQ11" s="348"/>
      <c r="BR11" s="348"/>
      <c r="BS11" s="348"/>
      <c r="BT11" s="348"/>
      <c r="BU11" s="348"/>
      <c r="BV11" s="348"/>
      <c r="BW11" s="348"/>
      <c r="BX11" s="348"/>
      <c r="BZ11" s="348" t="s">
        <v>11</v>
      </c>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row>
    <row r="12" spans="1:127">
      <c r="BE12" s="5"/>
      <c r="BF12" s="5"/>
      <c r="BG12" s="5"/>
      <c r="BH12" s="5"/>
      <c r="BI12" s="5"/>
      <c r="BJ12" s="5"/>
      <c r="BK12" s="5"/>
      <c r="BL12" s="5"/>
      <c r="BM12" s="5"/>
      <c r="BN12" s="337" t="s">
        <v>16</v>
      </c>
      <c r="BO12" s="337"/>
      <c r="BP12" s="327"/>
      <c r="BQ12" s="328"/>
      <c r="BR12" s="328"/>
      <c r="BS12" s="328"/>
      <c r="BT12" s="322" t="s">
        <v>16</v>
      </c>
      <c r="BU12" s="322"/>
      <c r="BV12" s="327"/>
      <c r="BW12" s="328"/>
      <c r="BX12" s="328"/>
      <c r="BY12" s="328"/>
      <c r="BZ12" s="328"/>
      <c r="CA12" s="328"/>
      <c r="CB12" s="328"/>
      <c r="CC12" s="328"/>
      <c r="CD12" s="328"/>
      <c r="CE12" s="328"/>
      <c r="CF12" s="328"/>
      <c r="CG12" s="328"/>
      <c r="CH12" s="328"/>
      <c r="CI12" s="328"/>
      <c r="CJ12" s="328"/>
      <c r="CK12" s="349">
        <v>20</v>
      </c>
      <c r="CL12" s="349"/>
      <c r="CM12" s="349"/>
      <c r="CN12" s="347"/>
      <c r="CO12" s="347"/>
      <c r="CP12" s="347"/>
      <c r="CQ12" s="347"/>
      <c r="CR12" s="3" t="s">
        <v>17</v>
      </c>
    </row>
    <row r="13" spans="1:127">
      <c r="CY13" s="6"/>
    </row>
    <row r="14" spans="1:127" s="7" customFormat="1" ht="15.75">
      <c r="A14" s="323" t="s">
        <v>18</v>
      </c>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row>
    <row r="15" spans="1:127" s="11" customFormat="1" ht="15.75">
      <c r="A15" s="325" t="s">
        <v>346</v>
      </c>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row>
    <row r="16" spans="1:127" ht="17.25" customHeight="1">
      <c r="CO16" s="324" t="s">
        <v>12</v>
      </c>
      <c r="CP16" s="324"/>
      <c r="CQ16" s="324"/>
      <c r="CR16" s="324"/>
      <c r="CS16" s="324"/>
      <c r="CT16" s="324"/>
      <c r="CU16" s="324"/>
      <c r="CV16" s="324"/>
      <c r="CW16" s="324"/>
      <c r="CX16" s="324"/>
      <c r="CY16" s="324"/>
      <c r="CZ16" s="324"/>
      <c r="DA16" s="324"/>
      <c r="DB16" s="324"/>
      <c r="DC16" s="324"/>
      <c r="DD16" s="324"/>
    </row>
    <row r="17" spans="1:108" ht="13.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17"/>
      <c r="CE17" s="17"/>
      <c r="CF17" s="17"/>
      <c r="CG17" s="17"/>
      <c r="CH17" s="17"/>
      <c r="CI17" s="17"/>
      <c r="CJ17" s="17"/>
      <c r="CK17" s="17"/>
      <c r="CL17" s="17"/>
      <c r="CM17" s="18" t="s">
        <v>7</v>
      </c>
      <c r="CN17" s="17"/>
      <c r="CO17" s="334"/>
      <c r="CP17" s="335"/>
      <c r="CQ17" s="335"/>
      <c r="CR17" s="335"/>
      <c r="CS17" s="335"/>
      <c r="CT17" s="335"/>
      <c r="CU17" s="335"/>
      <c r="CV17" s="335"/>
      <c r="CW17" s="335"/>
      <c r="CX17" s="335"/>
      <c r="CY17" s="335"/>
      <c r="CZ17" s="335"/>
      <c r="DA17" s="335"/>
      <c r="DB17" s="335"/>
      <c r="DC17" s="335"/>
      <c r="DD17" s="336"/>
    </row>
    <row r="18" spans="1:108" ht="28.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19"/>
      <c r="AM18" s="20" t="s">
        <v>16</v>
      </c>
      <c r="AN18" s="326" t="s">
        <v>343</v>
      </c>
      <c r="AO18" s="326"/>
      <c r="AP18" s="326"/>
      <c r="AQ18" s="326"/>
      <c r="AR18" s="19" t="s">
        <v>16</v>
      </c>
      <c r="AS18" s="19"/>
      <c r="AT18" s="5"/>
      <c r="AU18" s="326" t="s">
        <v>344</v>
      </c>
      <c r="AV18" s="326"/>
      <c r="AW18" s="326"/>
      <c r="AX18" s="326"/>
      <c r="AY18" s="326"/>
      <c r="AZ18" s="326"/>
      <c r="BA18" s="326"/>
      <c r="BB18" s="326"/>
      <c r="BC18" s="326"/>
      <c r="BD18" s="326"/>
      <c r="BE18" s="326"/>
      <c r="BF18" s="326"/>
      <c r="BG18" s="326"/>
      <c r="BH18" s="326"/>
      <c r="BI18" s="326"/>
      <c r="BJ18" s="329">
        <v>20</v>
      </c>
      <c r="BK18" s="329"/>
      <c r="BL18" s="329"/>
      <c r="BM18" s="329"/>
      <c r="BN18" s="330" t="s">
        <v>345</v>
      </c>
      <c r="BO18" s="330"/>
      <c r="BP18" s="330"/>
      <c r="BQ18" s="19" t="s">
        <v>17</v>
      </c>
      <c r="BR18" s="19"/>
      <c r="BS18" s="19"/>
      <c r="BT18" s="26"/>
      <c r="BU18" s="5"/>
      <c r="BV18" s="5"/>
      <c r="BW18" s="5"/>
      <c r="BX18" s="5"/>
      <c r="BY18" s="21"/>
      <c r="BZ18" s="5"/>
      <c r="CA18" s="5"/>
      <c r="CB18" s="5"/>
      <c r="CC18" s="5"/>
      <c r="CD18" s="319" t="s">
        <v>8</v>
      </c>
      <c r="CE18" s="319"/>
      <c r="CF18" s="319"/>
      <c r="CG18" s="319"/>
      <c r="CH18" s="319"/>
      <c r="CI18" s="319"/>
      <c r="CJ18" s="319"/>
      <c r="CK18" s="319"/>
      <c r="CL18" s="319"/>
      <c r="CM18" s="319"/>
      <c r="CN18" s="320"/>
      <c r="CO18" s="331">
        <v>45317</v>
      </c>
      <c r="CP18" s="332"/>
      <c r="CQ18" s="332"/>
      <c r="CR18" s="332"/>
      <c r="CS18" s="332"/>
      <c r="CT18" s="332"/>
      <c r="CU18" s="332"/>
      <c r="CV18" s="332"/>
      <c r="CW18" s="332"/>
      <c r="CX18" s="332"/>
      <c r="CY18" s="332"/>
      <c r="CZ18" s="332"/>
      <c r="DA18" s="332"/>
      <c r="DB18" s="332"/>
      <c r="DC18" s="332"/>
      <c r="DD18" s="333"/>
    </row>
    <row r="19" spans="1:108" s="25" customFormat="1" ht="13.5"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343" t="s">
        <v>57</v>
      </c>
      <c r="BV19" s="343"/>
      <c r="BW19" s="343"/>
      <c r="BX19" s="343"/>
      <c r="BY19" s="343"/>
      <c r="BZ19" s="343"/>
      <c r="CA19" s="343"/>
      <c r="CB19" s="343"/>
      <c r="CC19" s="343"/>
      <c r="CD19" s="343"/>
      <c r="CE19" s="343"/>
      <c r="CF19" s="343"/>
      <c r="CG19" s="343"/>
      <c r="CH19" s="343"/>
      <c r="CI19" s="343"/>
      <c r="CJ19" s="343"/>
      <c r="CK19" s="343"/>
      <c r="CL19" s="343"/>
      <c r="CM19" s="343"/>
      <c r="CN19" s="344"/>
      <c r="CO19" s="340" t="s">
        <v>188</v>
      </c>
      <c r="CP19" s="341"/>
      <c r="CQ19" s="341"/>
      <c r="CR19" s="341"/>
      <c r="CS19" s="341"/>
      <c r="CT19" s="341"/>
      <c r="CU19" s="341"/>
      <c r="CV19" s="341"/>
      <c r="CW19" s="341"/>
      <c r="CX19" s="341"/>
      <c r="CY19" s="341"/>
      <c r="CZ19" s="341"/>
      <c r="DA19" s="341"/>
      <c r="DB19" s="341"/>
      <c r="DC19" s="341"/>
      <c r="DD19" s="342"/>
    </row>
    <row r="20" spans="1:108" s="25" customFormat="1" ht="39.75" customHeight="1">
      <c r="A20" s="321" t="s">
        <v>56</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38" t="s">
        <v>173</v>
      </c>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27"/>
      <c r="CA20" s="27"/>
      <c r="CB20" s="339" t="s">
        <v>9</v>
      </c>
      <c r="CC20" s="339"/>
      <c r="CD20" s="339"/>
      <c r="CE20" s="339"/>
      <c r="CF20" s="339"/>
      <c r="CG20" s="339"/>
      <c r="CH20" s="339"/>
      <c r="CI20" s="339"/>
      <c r="CJ20" s="339"/>
      <c r="CK20" s="339"/>
      <c r="CL20" s="339"/>
      <c r="CM20" s="339"/>
      <c r="CN20" s="314"/>
      <c r="CO20" s="340" t="s">
        <v>171</v>
      </c>
      <c r="CP20" s="341"/>
      <c r="CQ20" s="341"/>
      <c r="CR20" s="341"/>
      <c r="CS20" s="341"/>
      <c r="CT20" s="341"/>
      <c r="CU20" s="341"/>
      <c r="CV20" s="341"/>
      <c r="CW20" s="341"/>
      <c r="CX20" s="341"/>
      <c r="CY20" s="341"/>
      <c r="CZ20" s="341"/>
      <c r="DA20" s="341"/>
      <c r="DB20" s="341"/>
      <c r="DC20" s="341"/>
      <c r="DD20" s="342"/>
    </row>
    <row r="21" spans="1:108" s="25" customFormat="1" ht="13.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313" t="s">
        <v>57</v>
      </c>
      <c r="BV21" s="313"/>
      <c r="BW21" s="313"/>
      <c r="BX21" s="313"/>
      <c r="BY21" s="313"/>
      <c r="BZ21" s="313"/>
      <c r="CA21" s="313"/>
      <c r="CB21" s="313"/>
      <c r="CC21" s="313"/>
      <c r="CD21" s="313"/>
      <c r="CE21" s="313"/>
      <c r="CF21" s="313"/>
      <c r="CG21" s="313"/>
      <c r="CH21" s="313"/>
      <c r="CI21" s="313"/>
      <c r="CJ21" s="313"/>
      <c r="CK21" s="313"/>
      <c r="CL21" s="313"/>
      <c r="CM21" s="313"/>
      <c r="CN21" s="314"/>
      <c r="CO21" s="308" t="s">
        <v>216</v>
      </c>
      <c r="CP21" s="309"/>
      <c r="CQ21" s="309"/>
      <c r="CR21" s="309"/>
      <c r="CS21" s="309"/>
      <c r="CT21" s="309"/>
      <c r="CU21" s="309"/>
      <c r="CV21" s="309"/>
      <c r="CW21" s="309"/>
      <c r="CX21" s="309"/>
      <c r="CY21" s="309"/>
      <c r="CZ21" s="309"/>
      <c r="DA21" s="309"/>
      <c r="DB21" s="309"/>
      <c r="DC21" s="309"/>
      <c r="DD21" s="310"/>
    </row>
    <row r="22" spans="1:108" s="25" customFormat="1" ht="13.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313" t="s">
        <v>13</v>
      </c>
      <c r="CC22" s="313"/>
      <c r="CD22" s="313"/>
      <c r="CE22" s="313"/>
      <c r="CF22" s="313"/>
      <c r="CG22" s="313"/>
      <c r="CH22" s="313"/>
      <c r="CI22" s="313"/>
      <c r="CJ22" s="313"/>
      <c r="CK22" s="313"/>
      <c r="CL22" s="313"/>
      <c r="CM22" s="313"/>
      <c r="CN22" s="314"/>
      <c r="CO22" s="308" t="s">
        <v>217</v>
      </c>
      <c r="CP22" s="309"/>
      <c r="CQ22" s="309"/>
      <c r="CR22" s="309"/>
      <c r="CS22" s="309"/>
      <c r="CT22" s="309"/>
      <c r="CU22" s="309"/>
      <c r="CV22" s="309"/>
      <c r="CW22" s="309"/>
      <c r="CX22" s="309"/>
      <c r="CY22" s="309"/>
      <c r="CZ22" s="309"/>
      <c r="DA22" s="309"/>
      <c r="DB22" s="309"/>
      <c r="DC22" s="309"/>
      <c r="DD22" s="310"/>
    </row>
    <row r="23" spans="1:108" ht="52.5" customHeight="1">
      <c r="A23" s="312" t="s">
        <v>58</v>
      </c>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5" t="s">
        <v>218</v>
      </c>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17"/>
      <c r="CB23" s="313" t="s">
        <v>14</v>
      </c>
      <c r="CC23" s="313"/>
      <c r="CD23" s="313"/>
      <c r="CE23" s="313"/>
      <c r="CF23" s="313"/>
      <c r="CG23" s="313"/>
      <c r="CH23" s="313"/>
      <c r="CI23" s="313"/>
      <c r="CJ23" s="313"/>
      <c r="CK23" s="313"/>
      <c r="CL23" s="313"/>
      <c r="CM23" s="313"/>
      <c r="CN23" s="314"/>
      <c r="CO23" s="308" t="s">
        <v>172</v>
      </c>
      <c r="CP23" s="309"/>
      <c r="CQ23" s="309"/>
      <c r="CR23" s="309"/>
      <c r="CS23" s="309"/>
      <c r="CT23" s="309"/>
      <c r="CU23" s="309"/>
      <c r="CV23" s="309"/>
      <c r="CW23" s="309"/>
      <c r="CX23" s="309"/>
      <c r="CY23" s="309"/>
      <c r="CZ23" s="309"/>
      <c r="DA23" s="309"/>
      <c r="DB23" s="309"/>
      <c r="DC23" s="309"/>
      <c r="DD23" s="310"/>
    </row>
    <row r="24" spans="1:108" s="8" customFormat="1" ht="30.75" customHeight="1">
      <c r="A24" s="321" t="s">
        <v>186</v>
      </c>
      <c r="B24" s="321"/>
      <c r="C24" s="321"/>
      <c r="D24" s="321"/>
      <c r="E24" s="321"/>
      <c r="F24" s="321"/>
      <c r="G24" s="321"/>
      <c r="H24" s="321"/>
      <c r="I24" s="321"/>
      <c r="J24" s="321"/>
      <c r="K24" s="321"/>
      <c r="L24" s="321"/>
      <c r="M24" s="321"/>
      <c r="N24" s="321"/>
      <c r="O24" s="321"/>
      <c r="P24" s="321"/>
      <c r="Q24" s="321"/>
      <c r="R24" s="321"/>
      <c r="S24" s="321"/>
      <c r="T24" s="321"/>
      <c r="U24" s="321"/>
      <c r="V24" s="321"/>
      <c r="W24" s="17"/>
      <c r="X24" s="17"/>
      <c r="Y24" s="17"/>
      <c r="Z24" s="17"/>
      <c r="AA24" s="17"/>
      <c r="AB24" s="17"/>
      <c r="AC24" s="17"/>
      <c r="AD24" s="17"/>
      <c r="AE24" s="17"/>
      <c r="AF24" s="345" t="s">
        <v>24</v>
      </c>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17"/>
      <c r="CB24" s="319" t="s">
        <v>10</v>
      </c>
      <c r="CC24" s="319"/>
      <c r="CD24" s="319"/>
      <c r="CE24" s="319"/>
      <c r="CF24" s="319"/>
      <c r="CG24" s="319"/>
      <c r="CH24" s="319"/>
      <c r="CI24" s="319"/>
      <c r="CJ24" s="319"/>
      <c r="CK24" s="319"/>
      <c r="CL24" s="319"/>
      <c r="CM24" s="319"/>
      <c r="CN24" s="320"/>
      <c r="CO24" s="308" t="s">
        <v>19</v>
      </c>
      <c r="CP24" s="309"/>
      <c r="CQ24" s="309"/>
      <c r="CR24" s="309"/>
      <c r="CS24" s="309"/>
      <c r="CT24" s="309"/>
      <c r="CU24" s="309"/>
      <c r="CV24" s="309"/>
      <c r="CW24" s="309"/>
      <c r="CX24" s="309"/>
      <c r="CY24" s="309"/>
      <c r="CZ24" s="309"/>
      <c r="DA24" s="309"/>
      <c r="DB24" s="309"/>
      <c r="DC24" s="309"/>
      <c r="DD24" s="310"/>
    </row>
    <row r="25" spans="1:108" ht="6" customHeight="1">
      <c r="A25" s="16"/>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3"/>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10"/>
      <c r="CP25" s="10"/>
      <c r="CQ25" s="10"/>
      <c r="CR25" s="10"/>
      <c r="CS25" s="10"/>
      <c r="CT25" s="10"/>
      <c r="CU25" s="10"/>
      <c r="CV25" s="10"/>
      <c r="CW25" s="5"/>
      <c r="CX25" s="5"/>
      <c r="CY25" s="5"/>
      <c r="CZ25" s="5"/>
      <c r="DA25" s="5"/>
      <c r="DB25" s="5"/>
      <c r="DC25" s="5"/>
      <c r="DD25" s="5"/>
    </row>
    <row r="26" spans="1:108" ht="30" customHeight="1">
      <c r="A26" s="316" t="s">
        <v>21</v>
      </c>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7" t="s">
        <v>219</v>
      </c>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317"/>
      <c r="CM26" s="317"/>
      <c r="CN26" s="317"/>
      <c r="CO26" s="317"/>
      <c r="CP26" s="317"/>
      <c r="CQ26" s="317"/>
      <c r="CR26" s="317"/>
      <c r="CS26" s="317"/>
      <c r="CT26" s="317"/>
      <c r="CU26" s="317"/>
      <c r="CV26" s="317"/>
      <c r="CW26" s="317"/>
      <c r="CX26" s="317"/>
      <c r="CY26" s="317"/>
      <c r="CZ26" s="317"/>
      <c r="DA26" s="317"/>
      <c r="DB26" s="317"/>
      <c r="DC26" s="317"/>
      <c r="DD26" s="317"/>
    </row>
    <row r="27" spans="1:108" ht="56.25" customHeight="1">
      <c r="A27" s="316" t="s">
        <v>20</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8" t="s">
        <v>220</v>
      </c>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318"/>
      <c r="DA27" s="318"/>
      <c r="DB27" s="318"/>
      <c r="DC27" s="318"/>
      <c r="DD27" s="318"/>
    </row>
    <row r="28" spans="1:108" ht="6"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row>
    <row r="29" spans="1:108" ht="3" customHeight="1"/>
    <row r="34" spans="1:36" ht="174.75" customHeight="1">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row>
  </sheetData>
  <mergeCells count="51">
    <mergeCell ref="AF24:BZ24"/>
    <mergeCell ref="BE1:DD1"/>
    <mergeCell ref="CN12:CQ12"/>
    <mergeCell ref="BZ11:DD11"/>
    <mergeCell ref="BV12:CJ12"/>
    <mergeCell ref="CK12:CM12"/>
    <mergeCell ref="BE8:DD8"/>
    <mergeCell ref="BE9:DD9"/>
    <mergeCell ref="BE10:BX10"/>
    <mergeCell ref="BE2:DD2"/>
    <mergeCell ref="BE3:DD3"/>
    <mergeCell ref="BE5:DD5"/>
    <mergeCell ref="BZ10:DD10"/>
    <mergeCell ref="BE7:DD7"/>
    <mergeCell ref="BE11:BX11"/>
    <mergeCell ref="BE4:DD4"/>
    <mergeCell ref="A20:AN20"/>
    <mergeCell ref="AO20:BY20"/>
    <mergeCell ref="CB20:CN20"/>
    <mergeCell ref="CO20:DD20"/>
    <mergeCell ref="BU19:CN19"/>
    <mergeCell ref="CO19:DD19"/>
    <mergeCell ref="BT12:BU12"/>
    <mergeCell ref="A14:DD14"/>
    <mergeCell ref="CO16:DD16"/>
    <mergeCell ref="A15:DD15"/>
    <mergeCell ref="AN18:AQ18"/>
    <mergeCell ref="BP12:BS12"/>
    <mergeCell ref="CD18:CN18"/>
    <mergeCell ref="AU18:BI18"/>
    <mergeCell ref="BJ18:BM18"/>
    <mergeCell ref="BN18:BP18"/>
    <mergeCell ref="CO18:DD18"/>
    <mergeCell ref="CO17:DD17"/>
    <mergeCell ref="BN12:BO12"/>
    <mergeCell ref="CO21:DD21"/>
    <mergeCell ref="CO22:DD22"/>
    <mergeCell ref="A34:AJ34"/>
    <mergeCell ref="A23:AE23"/>
    <mergeCell ref="BU21:CN21"/>
    <mergeCell ref="CB22:CN22"/>
    <mergeCell ref="AF23:BZ23"/>
    <mergeCell ref="CO24:DD24"/>
    <mergeCell ref="A27:AN27"/>
    <mergeCell ref="AO26:DD26"/>
    <mergeCell ref="AO27:DD27"/>
    <mergeCell ref="A26:AN26"/>
    <mergeCell ref="CB24:CN24"/>
    <mergeCell ref="CB23:CN23"/>
    <mergeCell ref="CO23:DD23"/>
    <mergeCell ref="A24:V24"/>
  </mergeCells>
  <phoneticPr fontId="11" type="noConversion"/>
  <pageMargins left="0.70866141732283472" right="0.27559055118110237" top="0.41" bottom="0.39370078740157483" header="0.19685039370078741"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FFFF00"/>
  </sheetPr>
  <dimension ref="A1:HC54"/>
  <sheetViews>
    <sheetView view="pageBreakPreview" topLeftCell="A29" zoomScale="70" zoomScaleNormal="100" zoomScaleSheetLayoutView="70" workbookViewId="0">
      <selection activeCell="DU51" sqref="DU51"/>
    </sheetView>
  </sheetViews>
  <sheetFormatPr defaultColWidth="0.85546875" defaultRowHeight="12.75"/>
  <cols>
    <col min="1" max="20" width="0.85546875" style="302"/>
    <col min="21" max="21" width="6" style="302" customWidth="1"/>
    <col min="22" max="24" width="0.85546875" style="302" hidden="1" customWidth="1"/>
    <col min="25" max="38" width="0.85546875" style="302"/>
    <col min="39" max="39" width="0.7109375" style="302" customWidth="1"/>
    <col min="40" max="40" width="0.85546875" style="302" hidden="1" customWidth="1"/>
    <col min="41" max="56" width="0.85546875" style="302"/>
    <col min="57" max="57" width="1.28515625" style="302" customWidth="1"/>
    <col min="58" max="89" width="0.85546875" style="302"/>
    <col min="90" max="90" width="3" style="302" customWidth="1"/>
    <col min="91" max="178" width="0.85546875" style="302"/>
    <col min="179" max="179" width="4.7109375" style="302" customWidth="1"/>
    <col min="180" max="180" width="0.140625" style="302" customWidth="1"/>
    <col min="181" max="181" width="0.85546875" style="302" hidden="1" customWidth="1"/>
    <col min="182" max="196" width="0.85546875" style="302"/>
    <col min="197" max="197" width="3.28515625" style="302" customWidth="1"/>
    <col min="198" max="198" width="5.85546875" style="302" customWidth="1"/>
    <col min="199" max="199" width="16.140625" style="302" customWidth="1"/>
    <col min="200" max="200" width="18.5703125" style="302" customWidth="1"/>
    <col min="201" max="201" width="17.140625" style="302" customWidth="1"/>
    <col min="202" max="202" width="15.5703125" style="302" customWidth="1"/>
    <col min="203" max="203" width="12.7109375" style="302" customWidth="1"/>
    <col min="204" max="229" width="15.7109375" style="302" customWidth="1"/>
    <col min="230" max="276" width="0.85546875" style="302"/>
    <col min="277" max="277" width="6" style="302" customWidth="1"/>
    <col min="278" max="280" width="0" style="302" hidden="1" customWidth="1"/>
    <col min="281" max="294" width="0.85546875" style="302"/>
    <col min="295" max="295" width="0.7109375" style="302" customWidth="1"/>
    <col min="296" max="296" width="0" style="302" hidden="1" customWidth="1"/>
    <col min="297" max="312" width="0.85546875" style="302"/>
    <col min="313" max="313" width="1.28515625" style="302" customWidth="1"/>
    <col min="314" max="345" width="0.85546875" style="302"/>
    <col min="346" max="346" width="3" style="302" customWidth="1"/>
    <col min="347" max="434" width="0.85546875" style="302"/>
    <col min="435" max="435" width="4.7109375" style="302" customWidth="1"/>
    <col min="436" max="436" width="0.140625" style="302" customWidth="1"/>
    <col min="437" max="437" width="0" style="302" hidden="1" customWidth="1"/>
    <col min="438" max="452" width="0.85546875" style="302"/>
    <col min="453" max="453" width="3.28515625" style="302" customWidth="1"/>
    <col min="454" max="454" width="5.85546875" style="302" customWidth="1"/>
    <col min="455" max="455" width="16.140625" style="302" customWidth="1"/>
    <col min="456" max="456" width="18.5703125" style="302" customWidth="1"/>
    <col min="457" max="457" width="17.140625" style="302" customWidth="1"/>
    <col min="458" max="458" width="15.5703125" style="302" customWidth="1"/>
    <col min="459" max="459" width="12.7109375" style="302" customWidth="1"/>
    <col min="460" max="485" width="15.7109375" style="302" customWidth="1"/>
    <col min="486" max="532" width="0.85546875" style="302"/>
    <col min="533" max="533" width="6" style="302" customWidth="1"/>
    <col min="534" max="536" width="0" style="302" hidden="1" customWidth="1"/>
    <col min="537" max="550" width="0.85546875" style="302"/>
    <col min="551" max="551" width="0.7109375" style="302" customWidth="1"/>
    <col min="552" max="552" width="0" style="302" hidden="1" customWidth="1"/>
    <col min="553" max="568" width="0.85546875" style="302"/>
    <col min="569" max="569" width="1.28515625" style="302" customWidth="1"/>
    <col min="570" max="601" width="0.85546875" style="302"/>
    <col min="602" max="602" width="3" style="302" customWidth="1"/>
    <col min="603" max="690" width="0.85546875" style="302"/>
    <col min="691" max="691" width="4.7109375" style="302" customWidth="1"/>
    <col min="692" max="692" width="0.140625" style="302" customWidth="1"/>
    <col min="693" max="693" width="0" style="302" hidden="1" customWidth="1"/>
    <col min="694" max="708" width="0.85546875" style="302"/>
    <col min="709" max="709" width="3.28515625" style="302" customWidth="1"/>
    <col min="710" max="710" width="5.85546875" style="302" customWidth="1"/>
    <col min="711" max="711" width="16.140625" style="302" customWidth="1"/>
    <col min="712" max="712" width="18.5703125" style="302" customWidth="1"/>
    <col min="713" max="713" width="17.140625" style="302" customWidth="1"/>
    <col min="714" max="714" width="15.5703125" style="302" customWidth="1"/>
    <col min="715" max="715" width="12.7109375" style="302" customWidth="1"/>
    <col min="716" max="741" width="15.7109375" style="302" customWidth="1"/>
    <col min="742" max="788" width="0.85546875" style="302"/>
    <col min="789" max="789" width="6" style="302" customWidth="1"/>
    <col min="790" max="792" width="0" style="302" hidden="1" customWidth="1"/>
    <col min="793" max="806" width="0.85546875" style="302"/>
    <col min="807" max="807" width="0.7109375" style="302" customWidth="1"/>
    <col min="808" max="808" width="0" style="302" hidden="1" customWidth="1"/>
    <col min="809" max="824" width="0.85546875" style="302"/>
    <col min="825" max="825" width="1.28515625" style="302" customWidth="1"/>
    <col min="826" max="857" width="0.85546875" style="302"/>
    <col min="858" max="858" width="3" style="302" customWidth="1"/>
    <col min="859" max="946" width="0.85546875" style="302"/>
    <col min="947" max="947" width="4.7109375" style="302" customWidth="1"/>
    <col min="948" max="948" width="0.140625" style="302" customWidth="1"/>
    <col min="949" max="949" width="0" style="302" hidden="1" customWidth="1"/>
    <col min="950" max="964" width="0.85546875" style="302"/>
    <col min="965" max="965" width="3.28515625" style="302" customWidth="1"/>
    <col min="966" max="966" width="5.85546875" style="302" customWidth="1"/>
    <col min="967" max="967" width="16.140625" style="302" customWidth="1"/>
    <col min="968" max="968" width="18.5703125" style="302" customWidth="1"/>
    <col min="969" max="969" width="17.140625" style="302" customWidth="1"/>
    <col min="970" max="970" width="15.5703125" style="302" customWidth="1"/>
    <col min="971" max="971" width="12.7109375" style="302" customWidth="1"/>
    <col min="972" max="997" width="15.7109375" style="302" customWidth="1"/>
    <col min="998" max="1044" width="0.85546875" style="302"/>
    <col min="1045" max="1045" width="6" style="302" customWidth="1"/>
    <col min="1046" max="1048" width="0" style="302" hidden="1" customWidth="1"/>
    <col min="1049" max="1062" width="0.85546875" style="302"/>
    <col min="1063" max="1063" width="0.7109375" style="302" customWidth="1"/>
    <col min="1064" max="1064" width="0" style="302" hidden="1" customWidth="1"/>
    <col min="1065" max="1080" width="0.85546875" style="302"/>
    <col min="1081" max="1081" width="1.28515625" style="302" customWidth="1"/>
    <col min="1082" max="1113" width="0.85546875" style="302"/>
    <col min="1114" max="1114" width="3" style="302" customWidth="1"/>
    <col min="1115" max="1202" width="0.85546875" style="302"/>
    <col min="1203" max="1203" width="4.7109375" style="302" customWidth="1"/>
    <col min="1204" max="1204" width="0.140625" style="302" customWidth="1"/>
    <col min="1205" max="1205" width="0" style="302" hidden="1" customWidth="1"/>
    <col min="1206" max="1220" width="0.85546875" style="302"/>
    <col min="1221" max="1221" width="3.28515625" style="302" customWidth="1"/>
    <col min="1222" max="1222" width="5.85546875" style="302" customWidth="1"/>
    <col min="1223" max="1223" width="16.140625" style="302" customWidth="1"/>
    <col min="1224" max="1224" width="18.5703125" style="302" customWidth="1"/>
    <col min="1225" max="1225" width="17.140625" style="302" customWidth="1"/>
    <col min="1226" max="1226" width="15.5703125" style="302" customWidth="1"/>
    <col min="1227" max="1227" width="12.7109375" style="302" customWidth="1"/>
    <col min="1228" max="1253" width="15.7109375" style="302" customWidth="1"/>
    <col min="1254" max="1300" width="0.85546875" style="302"/>
    <col min="1301" max="1301" width="6" style="302" customWidth="1"/>
    <col min="1302" max="1304" width="0" style="302" hidden="1" customWidth="1"/>
    <col min="1305" max="1318" width="0.85546875" style="302"/>
    <col min="1319" max="1319" width="0.7109375" style="302" customWidth="1"/>
    <col min="1320" max="1320" width="0" style="302" hidden="1" customWidth="1"/>
    <col min="1321" max="1336" width="0.85546875" style="302"/>
    <col min="1337" max="1337" width="1.28515625" style="302" customWidth="1"/>
    <col min="1338" max="1369" width="0.85546875" style="302"/>
    <col min="1370" max="1370" width="3" style="302" customWidth="1"/>
    <col min="1371" max="1458" width="0.85546875" style="302"/>
    <col min="1459" max="1459" width="4.7109375" style="302" customWidth="1"/>
    <col min="1460" max="1460" width="0.140625" style="302" customWidth="1"/>
    <col min="1461" max="1461" width="0" style="302" hidden="1" customWidth="1"/>
    <col min="1462" max="1476" width="0.85546875" style="302"/>
    <col min="1477" max="1477" width="3.28515625" style="302" customWidth="1"/>
    <col min="1478" max="1478" width="5.85546875" style="302" customWidth="1"/>
    <col min="1479" max="1479" width="16.140625" style="302" customWidth="1"/>
    <col min="1480" max="1480" width="18.5703125" style="302" customWidth="1"/>
    <col min="1481" max="1481" width="17.140625" style="302" customWidth="1"/>
    <col min="1482" max="1482" width="15.5703125" style="302" customWidth="1"/>
    <col min="1483" max="1483" width="12.7109375" style="302" customWidth="1"/>
    <col min="1484" max="1509" width="15.7109375" style="302" customWidth="1"/>
    <col min="1510" max="1556" width="0.85546875" style="302"/>
    <col min="1557" max="1557" width="6" style="302" customWidth="1"/>
    <col min="1558" max="1560" width="0" style="302" hidden="1" customWidth="1"/>
    <col min="1561" max="1574" width="0.85546875" style="302"/>
    <col min="1575" max="1575" width="0.7109375" style="302" customWidth="1"/>
    <col min="1576" max="1576" width="0" style="302" hidden="1" customWidth="1"/>
    <col min="1577" max="1592" width="0.85546875" style="302"/>
    <col min="1593" max="1593" width="1.28515625" style="302" customWidth="1"/>
    <col min="1594" max="1625" width="0.85546875" style="302"/>
    <col min="1626" max="1626" width="3" style="302" customWidth="1"/>
    <col min="1627" max="1714" width="0.85546875" style="302"/>
    <col min="1715" max="1715" width="4.7109375" style="302" customWidth="1"/>
    <col min="1716" max="1716" width="0.140625" style="302" customWidth="1"/>
    <col min="1717" max="1717" width="0" style="302" hidden="1" customWidth="1"/>
    <col min="1718" max="1732" width="0.85546875" style="302"/>
    <col min="1733" max="1733" width="3.28515625" style="302" customWidth="1"/>
    <col min="1734" max="1734" width="5.85546875" style="302" customWidth="1"/>
    <col min="1735" max="1735" width="16.140625" style="302" customWidth="1"/>
    <col min="1736" max="1736" width="18.5703125" style="302" customWidth="1"/>
    <col min="1737" max="1737" width="17.140625" style="302" customWidth="1"/>
    <col min="1738" max="1738" width="15.5703125" style="302" customWidth="1"/>
    <col min="1739" max="1739" width="12.7109375" style="302" customWidth="1"/>
    <col min="1740" max="1765" width="15.7109375" style="302" customWidth="1"/>
    <col min="1766" max="1812" width="0.85546875" style="302"/>
    <col min="1813" max="1813" width="6" style="302" customWidth="1"/>
    <col min="1814" max="1816" width="0" style="302" hidden="1" customWidth="1"/>
    <col min="1817" max="1830" width="0.85546875" style="302"/>
    <col min="1831" max="1831" width="0.7109375" style="302" customWidth="1"/>
    <col min="1832" max="1832" width="0" style="302" hidden="1" customWidth="1"/>
    <col min="1833" max="1848" width="0.85546875" style="302"/>
    <col min="1849" max="1849" width="1.28515625" style="302" customWidth="1"/>
    <col min="1850" max="1881" width="0.85546875" style="302"/>
    <col min="1882" max="1882" width="3" style="302" customWidth="1"/>
    <col min="1883" max="1970" width="0.85546875" style="302"/>
    <col min="1971" max="1971" width="4.7109375" style="302" customWidth="1"/>
    <col min="1972" max="1972" width="0.140625" style="302" customWidth="1"/>
    <col min="1973" max="1973" width="0" style="302" hidden="1" customWidth="1"/>
    <col min="1974" max="1988" width="0.85546875" style="302"/>
    <col min="1989" max="1989" width="3.28515625" style="302" customWidth="1"/>
    <col min="1990" max="1990" width="5.85546875" style="302" customWidth="1"/>
    <col min="1991" max="1991" width="16.140625" style="302" customWidth="1"/>
    <col min="1992" max="1992" width="18.5703125" style="302" customWidth="1"/>
    <col min="1993" max="1993" width="17.140625" style="302" customWidth="1"/>
    <col min="1994" max="1994" width="15.5703125" style="302" customWidth="1"/>
    <col min="1995" max="1995" width="12.7109375" style="302" customWidth="1"/>
    <col min="1996" max="2021" width="15.7109375" style="302" customWidth="1"/>
    <col min="2022" max="2068" width="0.85546875" style="302"/>
    <col min="2069" max="2069" width="6" style="302" customWidth="1"/>
    <col min="2070" max="2072" width="0" style="302" hidden="1" customWidth="1"/>
    <col min="2073" max="2086" width="0.85546875" style="302"/>
    <col min="2087" max="2087" width="0.7109375" style="302" customWidth="1"/>
    <col min="2088" max="2088" width="0" style="302" hidden="1" customWidth="1"/>
    <col min="2089" max="2104" width="0.85546875" style="302"/>
    <col min="2105" max="2105" width="1.28515625" style="302" customWidth="1"/>
    <col min="2106" max="2137" width="0.85546875" style="302"/>
    <col min="2138" max="2138" width="3" style="302" customWidth="1"/>
    <col min="2139" max="2226" width="0.85546875" style="302"/>
    <col min="2227" max="2227" width="4.7109375" style="302" customWidth="1"/>
    <col min="2228" max="2228" width="0.140625" style="302" customWidth="1"/>
    <col min="2229" max="2229" width="0" style="302" hidden="1" customWidth="1"/>
    <col min="2230" max="2244" width="0.85546875" style="302"/>
    <col min="2245" max="2245" width="3.28515625" style="302" customWidth="1"/>
    <col min="2246" max="2246" width="5.85546875" style="302" customWidth="1"/>
    <col min="2247" max="2247" width="16.140625" style="302" customWidth="1"/>
    <col min="2248" max="2248" width="18.5703125" style="302" customWidth="1"/>
    <col min="2249" max="2249" width="17.140625" style="302" customWidth="1"/>
    <col min="2250" max="2250" width="15.5703125" style="302" customWidth="1"/>
    <col min="2251" max="2251" width="12.7109375" style="302" customWidth="1"/>
    <col min="2252" max="2277" width="15.7109375" style="302" customWidth="1"/>
    <col min="2278" max="2324" width="0.85546875" style="302"/>
    <col min="2325" max="2325" width="6" style="302" customWidth="1"/>
    <col min="2326" max="2328" width="0" style="302" hidden="1" customWidth="1"/>
    <col min="2329" max="2342" width="0.85546875" style="302"/>
    <col min="2343" max="2343" width="0.7109375" style="302" customWidth="1"/>
    <col min="2344" max="2344" width="0" style="302" hidden="1" customWidth="1"/>
    <col min="2345" max="2360" width="0.85546875" style="302"/>
    <col min="2361" max="2361" width="1.28515625" style="302" customWidth="1"/>
    <col min="2362" max="2393" width="0.85546875" style="302"/>
    <col min="2394" max="2394" width="3" style="302" customWidth="1"/>
    <col min="2395" max="2482" width="0.85546875" style="302"/>
    <col min="2483" max="2483" width="4.7109375" style="302" customWidth="1"/>
    <col min="2484" max="2484" width="0.140625" style="302" customWidth="1"/>
    <col min="2485" max="2485" width="0" style="302" hidden="1" customWidth="1"/>
    <col min="2486" max="2500" width="0.85546875" style="302"/>
    <col min="2501" max="2501" width="3.28515625" style="302" customWidth="1"/>
    <col min="2502" max="2502" width="5.85546875" style="302" customWidth="1"/>
    <col min="2503" max="2503" width="16.140625" style="302" customWidth="1"/>
    <col min="2504" max="2504" width="18.5703125" style="302" customWidth="1"/>
    <col min="2505" max="2505" width="17.140625" style="302" customWidth="1"/>
    <col min="2506" max="2506" width="15.5703125" style="302" customWidth="1"/>
    <col min="2507" max="2507" width="12.7109375" style="302" customWidth="1"/>
    <col min="2508" max="2533" width="15.7109375" style="302" customWidth="1"/>
    <col min="2534" max="2580" width="0.85546875" style="302"/>
    <col min="2581" max="2581" width="6" style="302" customWidth="1"/>
    <col min="2582" max="2584" width="0" style="302" hidden="1" customWidth="1"/>
    <col min="2585" max="2598" width="0.85546875" style="302"/>
    <col min="2599" max="2599" width="0.7109375" style="302" customWidth="1"/>
    <col min="2600" max="2600" width="0" style="302" hidden="1" customWidth="1"/>
    <col min="2601" max="2616" width="0.85546875" style="302"/>
    <col min="2617" max="2617" width="1.28515625" style="302" customWidth="1"/>
    <col min="2618" max="2649" width="0.85546875" style="302"/>
    <col min="2650" max="2650" width="3" style="302" customWidth="1"/>
    <col min="2651" max="2738" width="0.85546875" style="302"/>
    <col min="2739" max="2739" width="4.7109375" style="302" customWidth="1"/>
    <col min="2740" max="2740" width="0.140625" style="302" customWidth="1"/>
    <col min="2741" max="2741" width="0" style="302" hidden="1" customWidth="1"/>
    <col min="2742" max="2756" width="0.85546875" style="302"/>
    <col min="2757" max="2757" width="3.28515625" style="302" customWidth="1"/>
    <col min="2758" max="2758" width="5.85546875" style="302" customWidth="1"/>
    <col min="2759" max="2759" width="16.140625" style="302" customWidth="1"/>
    <col min="2760" max="2760" width="18.5703125" style="302" customWidth="1"/>
    <col min="2761" max="2761" width="17.140625" style="302" customWidth="1"/>
    <col min="2762" max="2762" width="15.5703125" style="302" customWidth="1"/>
    <col min="2763" max="2763" width="12.7109375" style="302" customWidth="1"/>
    <col min="2764" max="2789" width="15.7109375" style="302" customWidth="1"/>
    <col min="2790" max="2836" width="0.85546875" style="302"/>
    <col min="2837" max="2837" width="6" style="302" customWidth="1"/>
    <col min="2838" max="2840" width="0" style="302" hidden="1" customWidth="1"/>
    <col min="2841" max="2854" width="0.85546875" style="302"/>
    <col min="2855" max="2855" width="0.7109375" style="302" customWidth="1"/>
    <col min="2856" max="2856" width="0" style="302" hidden="1" customWidth="1"/>
    <col min="2857" max="2872" width="0.85546875" style="302"/>
    <col min="2873" max="2873" width="1.28515625" style="302" customWidth="1"/>
    <col min="2874" max="2905" width="0.85546875" style="302"/>
    <col min="2906" max="2906" width="3" style="302" customWidth="1"/>
    <col min="2907" max="2994" width="0.85546875" style="302"/>
    <col min="2995" max="2995" width="4.7109375" style="302" customWidth="1"/>
    <col min="2996" max="2996" width="0.140625" style="302" customWidth="1"/>
    <col min="2997" max="2997" width="0" style="302" hidden="1" customWidth="1"/>
    <col min="2998" max="3012" width="0.85546875" style="302"/>
    <col min="3013" max="3013" width="3.28515625" style="302" customWidth="1"/>
    <col min="3014" max="3014" width="5.85546875" style="302" customWidth="1"/>
    <col min="3015" max="3015" width="16.140625" style="302" customWidth="1"/>
    <col min="3016" max="3016" width="18.5703125" style="302" customWidth="1"/>
    <col min="3017" max="3017" width="17.140625" style="302" customWidth="1"/>
    <col min="3018" max="3018" width="15.5703125" style="302" customWidth="1"/>
    <col min="3019" max="3019" width="12.7109375" style="302" customWidth="1"/>
    <col min="3020" max="3045" width="15.7109375" style="302" customWidth="1"/>
    <col min="3046" max="3092" width="0.85546875" style="302"/>
    <col min="3093" max="3093" width="6" style="302" customWidth="1"/>
    <col min="3094" max="3096" width="0" style="302" hidden="1" customWidth="1"/>
    <col min="3097" max="3110" width="0.85546875" style="302"/>
    <col min="3111" max="3111" width="0.7109375" style="302" customWidth="1"/>
    <col min="3112" max="3112" width="0" style="302" hidden="1" customWidth="1"/>
    <col min="3113" max="3128" width="0.85546875" style="302"/>
    <col min="3129" max="3129" width="1.28515625" style="302" customWidth="1"/>
    <col min="3130" max="3161" width="0.85546875" style="302"/>
    <col min="3162" max="3162" width="3" style="302" customWidth="1"/>
    <col min="3163" max="3250" width="0.85546875" style="302"/>
    <col min="3251" max="3251" width="4.7109375" style="302" customWidth="1"/>
    <col min="3252" max="3252" width="0.140625" style="302" customWidth="1"/>
    <col min="3253" max="3253" width="0" style="302" hidden="1" customWidth="1"/>
    <col min="3254" max="3268" width="0.85546875" style="302"/>
    <col min="3269" max="3269" width="3.28515625" style="302" customWidth="1"/>
    <col min="3270" max="3270" width="5.85546875" style="302" customWidth="1"/>
    <col min="3271" max="3271" width="16.140625" style="302" customWidth="1"/>
    <col min="3272" max="3272" width="18.5703125" style="302" customWidth="1"/>
    <col min="3273" max="3273" width="17.140625" style="302" customWidth="1"/>
    <col min="3274" max="3274" width="15.5703125" style="302" customWidth="1"/>
    <col min="3275" max="3275" width="12.7109375" style="302" customWidth="1"/>
    <col min="3276" max="3301" width="15.7109375" style="302" customWidth="1"/>
    <col min="3302" max="3348" width="0.85546875" style="302"/>
    <col min="3349" max="3349" width="6" style="302" customWidth="1"/>
    <col min="3350" max="3352" width="0" style="302" hidden="1" customWidth="1"/>
    <col min="3353" max="3366" width="0.85546875" style="302"/>
    <col min="3367" max="3367" width="0.7109375" style="302" customWidth="1"/>
    <col min="3368" max="3368" width="0" style="302" hidden="1" customWidth="1"/>
    <col min="3369" max="3384" width="0.85546875" style="302"/>
    <col min="3385" max="3385" width="1.28515625" style="302" customWidth="1"/>
    <col min="3386" max="3417" width="0.85546875" style="302"/>
    <col min="3418" max="3418" width="3" style="302" customWidth="1"/>
    <col min="3419" max="3506" width="0.85546875" style="302"/>
    <col min="3507" max="3507" width="4.7109375" style="302" customWidth="1"/>
    <col min="3508" max="3508" width="0.140625" style="302" customWidth="1"/>
    <col min="3509" max="3509" width="0" style="302" hidden="1" customWidth="1"/>
    <col min="3510" max="3524" width="0.85546875" style="302"/>
    <col min="3525" max="3525" width="3.28515625" style="302" customWidth="1"/>
    <col min="3526" max="3526" width="5.85546875" style="302" customWidth="1"/>
    <col min="3527" max="3527" width="16.140625" style="302" customWidth="1"/>
    <col min="3528" max="3528" width="18.5703125" style="302" customWidth="1"/>
    <col min="3529" max="3529" width="17.140625" style="302" customWidth="1"/>
    <col min="3530" max="3530" width="15.5703125" style="302" customWidth="1"/>
    <col min="3531" max="3531" width="12.7109375" style="302" customWidth="1"/>
    <col min="3532" max="3557" width="15.7109375" style="302" customWidth="1"/>
    <col min="3558" max="3604" width="0.85546875" style="302"/>
    <col min="3605" max="3605" width="6" style="302" customWidth="1"/>
    <col min="3606" max="3608" width="0" style="302" hidden="1" customWidth="1"/>
    <col min="3609" max="3622" width="0.85546875" style="302"/>
    <col min="3623" max="3623" width="0.7109375" style="302" customWidth="1"/>
    <col min="3624" max="3624" width="0" style="302" hidden="1" customWidth="1"/>
    <col min="3625" max="3640" width="0.85546875" style="302"/>
    <col min="3641" max="3641" width="1.28515625" style="302" customWidth="1"/>
    <col min="3642" max="3673" width="0.85546875" style="302"/>
    <col min="3674" max="3674" width="3" style="302" customWidth="1"/>
    <col min="3675" max="3762" width="0.85546875" style="302"/>
    <col min="3763" max="3763" width="4.7109375" style="302" customWidth="1"/>
    <col min="3764" max="3764" width="0.140625" style="302" customWidth="1"/>
    <col min="3765" max="3765" width="0" style="302" hidden="1" customWidth="1"/>
    <col min="3766" max="3780" width="0.85546875" style="302"/>
    <col min="3781" max="3781" width="3.28515625" style="302" customWidth="1"/>
    <col min="3782" max="3782" width="5.85546875" style="302" customWidth="1"/>
    <col min="3783" max="3783" width="16.140625" style="302" customWidth="1"/>
    <col min="3784" max="3784" width="18.5703125" style="302" customWidth="1"/>
    <col min="3785" max="3785" width="17.140625" style="302" customWidth="1"/>
    <col min="3786" max="3786" width="15.5703125" style="302" customWidth="1"/>
    <col min="3787" max="3787" width="12.7109375" style="302" customWidth="1"/>
    <col min="3788" max="3813" width="15.7109375" style="302" customWidth="1"/>
    <col min="3814" max="3860" width="0.85546875" style="302"/>
    <col min="3861" max="3861" width="6" style="302" customWidth="1"/>
    <col min="3862" max="3864" width="0" style="302" hidden="1" customWidth="1"/>
    <col min="3865" max="3878" width="0.85546875" style="302"/>
    <col min="3879" max="3879" width="0.7109375" style="302" customWidth="1"/>
    <col min="3880" max="3880" width="0" style="302" hidden="1" customWidth="1"/>
    <col min="3881" max="3896" width="0.85546875" style="302"/>
    <col min="3897" max="3897" width="1.28515625" style="302" customWidth="1"/>
    <col min="3898" max="3929" width="0.85546875" style="302"/>
    <col min="3930" max="3930" width="3" style="302" customWidth="1"/>
    <col min="3931" max="4018" width="0.85546875" style="302"/>
    <col min="4019" max="4019" width="4.7109375" style="302" customWidth="1"/>
    <col min="4020" max="4020" width="0.140625" style="302" customWidth="1"/>
    <col min="4021" max="4021" width="0" style="302" hidden="1" customWidth="1"/>
    <col min="4022" max="4036" width="0.85546875" style="302"/>
    <col min="4037" max="4037" width="3.28515625" style="302" customWidth="1"/>
    <col min="4038" max="4038" width="5.85546875" style="302" customWidth="1"/>
    <col min="4039" max="4039" width="16.140625" style="302" customWidth="1"/>
    <col min="4040" max="4040" width="18.5703125" style="302" customWidth="1"/>
    <col min="4041" max="4041" width="17.140625" style="302" customWidth="1"/>
    <col min="4042" max="4042" width="15.5703125" style="302" customWidth="1"/>
    <col min="4043" max="4043" width="12.7109375" style="302" customWidth="1"/>
    <col min="4044" max="4069" width="15.7109375" style="302" customWidth="1"/>
    <col min="4070" max="4116" width="0.85546875" style="302"/>
    <col min="4117" max="4117" width="6" style="302" customWidth="1"/>
    <col min="4118" max="4120" width="0" style="302" hidden="1" customWidth="1"/>
    <col min="4121" max="4134" width="0.85546875" style="302"/>
    <col min="4135" max="4135" width="0.7109375" style="302" customWidth="1"/>
    <col min="4136" max="4136" width="0" style="302" hidden="1" customWidth="1"/>
    <col min="4137" max="4152" width="0.85546875" style="302"/>
    <col min="4153" max="4153" width="1.28515625" style="302" customWidth="1"/>
    <col min="4154" max="4185" width="0.85546875" style="302"/>
    <col min="4186" max="4186" width="3" style="302" customWidth="1"/>
    <col min="4187" max="4274" width="0.85546875" style="302"/>
    <col min="4275" max="4275" width="4.7109375" style="302" customWidth="1"/>
    <col min="4276" max="4276" width="0.140625" style="302" customWidth="1"/>
    <col min="4277" max="4277" width="0" style="302" hidden="1" customWidth="1"/>
    <col min="4278" max="4292" width="0.85546875" style="302"/>
    <col min="4293" max="4293" width="3.28515625" style="302" customWidth="1"/>
    <col min="4294" max="4294" width="5.85546875" style="302" customWidth="1"/>
    <col min="4295" max="4295" width="16.140625" style="302" customWidth="1"/>
    <col min="4296" max="4296" width="18.5703125" style="302" customWidth="1"/>
    <col min="4297" max="4297" width="17.140625" style="302" customWidth="1"/>
    <col min="4298" max="4298" width="15.5703125" style="302" customWidth="1"/>
    <col min="4299" max="4299" width="12.7109375" style="302" customWidth="1"/>
    <col min="4300" max="4325" width="15.7109375" style="302" customWidth="1"/>
    <col min="4326" max="4372" width="0.85546875" style="302"/>
    <col min="4373" max="4373" width="6" style="302" customWidth="1"/>
    <col min="4374" max="4376" width="0" style="302" hidden="1" customWidth="1"/>
    <col min="4377" max="4390" width="0.85546875" style="302"/>
    <col min="4391" max="4391" width="0.7109375" style="302" customWidth="1"/>
    <col min="4392" max="4392" width="0" style="302" hidden="1" customWidth="1"/>
    <col min="4393" max="4408" width="0.85546875" style="302"/>
    <col min="4409" max="4409" width="1.28515625" style="302" customWidth="1"/>
    <col min="4410" max="4441" width="0.85546875" style="302"/>
    <col min="4442" max="4442" width="3" style="302" customWidth="1"/>
    <col min="4443" max="4530" width="0.85546875" style="302"/>
    <col min="4531" max="4531" width="4.7109375" style="302" customWidth="1"/>
    <col min="4532" max="4532" width="0.140625" style="302" customWidth="1"/>
    <col min="4533" max="4533" width="0" style="302" hidden="1" customWidth="1"/>
    <col min="4534" max="4548" width="0.85546875" style="302"/>
    <col min="4549" max="4549" width="3.28515625" style="302" customWidth="1"/>
    <col min="4550" max="4550" width="5.85546875" style="302" customWidth="1"/>
    <col min="4551" max="4551" width="16.140625" style="302" customWidth="1"/>
    <col min="4552" max="4552" width="18.5703125" style="302" customWidth="1"/>
    <col min="4553" max="4553" width="17.140625" style="302" customWidth="1"/>
    <col min="4554" max="4554" width="15.5703125" style="302" customWidth="1"/>
    <col min="4555" max="4555" width="12.7109375" style="302" customWidth="1"/>
    <col min="4556" max="4581" width="15.7109375" style="302" customWidth="1"/>
    <col min="4582" max="4628" width="0.85546875" style="302"/>
    <col min="4629" max="4629" width="6" style="302" customWidth="1"/>
    <col min="4630" max="4632" width="0" style="302" hidden="1" customWidth="1"/>
    <col min="4633" max="4646" width="0.85546875" style="302"/>
    <col min="4647" max="4647" width="0.7109375" style="302" customWidth="1"/>
    <col min="4648" max="4648" width="0" style="302" hidden="1" customWidth="1"/>
    <col min="4649" max="4664" width="0.85546875" style="302"/>
    <col min="4665" max="4665" width="1.28515625" style="302" customWidth="1"/>
    <col min="4666" max="4697" width="0.85546875" style="302"/>
    <col min="4698" max="4698" width="3" style="302" customWidth="1"/>
    <col min="4699" max="4786" width="0.85546875" style="302"/>
    <col min="4787" max="4787" width="4.7109375" style="302" customWidth="1"/>
    <col min="4788" max="4788" width="0.140625" style="302" customWidth="1"/>
    <col min="4789" max="4789" width="0" style="302" hidden="1" customWidth="1"/>
    <col min="4790" max="4804" width="0.85546875" style="302"/>
    <col min="4805" max="4805" width="3.28515625" style="302" customWidth="1"/>
    <col min="4806" max="4806" width="5.85546875" style="302" customWidth="1"/>
    <col min="4807" max="4807" width="16.140625" style="302" customWidth="1"/>
    <col min="4808" max="4808" width="18.5703125" style="302" customWidth="1"/>
    <col min="4809" max="4809" width="17.140625" style="302" customWidth="1"/>
    <col min="4810" max="4810" width="15.5703125" style="302" customWidth="1"/>
    <col min="4811" max="4811" width="12.7109375" style="302" customWidth="1"/>
    <col min="4812" max="4837" width="15.7109375" style="302" customWidth="1"/>
    <col min="4838" max="4884" width="0.85546875" style="302"/>
    <col min="4885" max="4885" width="6" style="302" customWidth="1"/>
    <col min="4886" max="4888" width="0" style="302" hidden="1" customWidth="1"/>
    <col min="4889" max="4902" width="0.85546875" style="302"/>
    <col min="4903" max="4903" width="0.7109375" style="302" customWidth="1"/>
    <col min="4904" max="4904" width="0" style="302" hidden="1" customWidth="1"/>
    <col min="4905" max="4920" width="0.85546875" style="302"/>
    <col min="4921" max="4921" width="1.28515625" style="302" customWidth="1"/>
    <col min="4922" max="4953" width="0.85546875" style="302"/>
    <col min="4954" max="4954" width="3" style="302" customWidth="1"/>
    <col min="4955" max="5042" width="0.85546875" style="302"/>
    <col min="5043" max="5043" width="4.7109375" style="302" customWidth="1"/>
    <col min="5044" max="5044" width="0.140625" style="302" customWidth="1"/>
    <col min="5045" max="5045" width="0" style="302" hidden="1" customWidth="1"/>
    <col min="5046" max="5060" width="0.85546875" style="302"/>
    <col min="5061" max="5061" width="3.28515625" style="302" customWidth="1"/>
    <col min="5062" max="5062" width="5.85546875" style="302" customWidth="1"/>
    <col min="5063" max="5063" width="16.140625" style="302" customWidth="1"/>
    <col min="5064" max="5064" width="18.5703125" style="302" customWidth="1"/>
    <col min="5065" max="5065" width="17.140625" style="302" customWidth="1"/>
    <col min="5066" max="5066" width="15.5703125" style="302" customWidth="1"/>
    <col min="5067" max="5067" width="12.7109375" style="302" customWidth="1"/>
    <col min="5068" max="5093" width="15.7109375" style="302" customWidth="1"/>
    <col min="5094" max="5140" width="0.85546875" style="302"/>
    <col min="5141" max="5141" width="6" style="302" customWidth="1"/>
    <col min="5142" max="5144" width="0" style="302" hidden="1" customWidth="1"/>
    <col min="5145" max="5158" width="0.85546875" style="302"/>
    <col min="5159" max="5159" width="0.7109375" style="302" customWidth="1"/>
    <col min="5160" max="5160" width="0" style="302" hidden="1" customWidth="1"/>
    <col min="5161" max="5176" width="0.85546875" style="302"/>
    <col min="5177" max="5177" width="1.28515625" style="302" customWidth="1"/>
    <col min="5178" max="5209" width="0.85546875" style="302"/>
    <col min="5210" max="5210" width="3" style="302" customWidth="1"/>
    <col min="5211" max="5298" width="0.85546875" style="302"/>
    <col min="5299" max="5299" width="4.7109375" style="302" customWidth="1"/>
    <col min="5300" max="5300" width="0.140625" style="302" customWidth="1"/>
    <col min="5301" max="5301" width="0" style="302" hidden="1" customWidth="1"/>
    <col min="5302" max="5316" width="0.85546875" style="302"/>
    <col min="5317" max="5317" width="3.28515625" style="302" customWidth="1"/>
    <col min="5318" max="5318" width="5.85546875" style="302" customWidth="1"/>
    <col min="5319" max="5319" width="16.140625" style="302" customWidth="1"/>
    <col min="5320" max="5320" width="18.5703125" style="302" customWidth="1"/>
    <col min="5321" max="5321" width="17.140625" style="302" customWidth="1"/>
    <col min="5322" max="5322" width="15.5703125" style="302" customWidth="1"/>
    <col min="5323" max="5323" width="12.7109375" style="302" customWidth="1"/>
    <col min="5324" max="5349" width="15.7109375" style="302" customWidth="1"/>
    <col min="5350" max="5396" width="0.85546875" style="302"/>
    <col min="5397" max="5397" width="6" style="302" customWidth="1"/>
    <col min="5398" max="5400" width="0" style="302" hidden="1" customWidth="1"/>
    <col min="5401" max="5414" width="0.85546875" style="302"/>
    <col min="5415" max="5415" width="0.7109375" style="302" customWidth="1"/>
    <col min="5416" max="5416" width="0" style="302" hidden="1" customWidth="1"/>
    <col min="5417" max="5432" width="0.85546875" style="302"/>
    <col min="5433" max="5433" width="1.28515625" style="302" customWidth="1"/>
    <col min="5434" max="5465" width="0.85546875" style="302"/>
    <col min="5466" max="5466" width="3" style="302" customWidth="1"/>
    <col min="5467" max="5554" width="0.85546875" style="302"/>
    <col min="5555" max="5555" width="4.7109375" style="302" customWidth="1"/>
    <col min="5556" max="5556" width="0.140625" style="302" customWidth="1"/>
    <col min="5557" max="5557" width="0" style="302" hidden="1" customWidth="1"/>
    <col min="5558" max="5572" width="0.85546875" style="302"/>
    <col min="5573" max="5573" width="3.28515625" style="302" customWidth="1"/>
    <col min="5574" max="5574" width="5.85546875" style="302" customWidth="1"/>
    <col min="5575" max="5575" width="16.140625" style="302" customWidth="1"/>
    <col min="5576" max="5576" width="18.5703125" style="302" customWidth="1"/>
    <col min="5577" max="5577" width="17.140625" style="302" customWidth="1"/>
    <col min="5578" max="5578" width="15.5703125" style="302" customWidth="1"/>
    <col min="5579" max="5579" width="12.7109375" style="302" customWidth="1"/>
    <col min="5580" max="5605" width="15.7109375" style="302" customWidth="1"/>
    <col min="5606" max="5652" width="0.85546875" style="302"/>
    <col min="5653" max="5653" width="6" style="302" customWidth="1"/>
    <col min="5654" max="5656" width="0" style="302" hidden="1" customWidth="1"/>
    <col min="5657" max="5670" width="0.85546875" style="302"/>
    <col min="5671" max="5671" width="0.7109375" style="302" customWidth="1"/>
    <col min="5672" max="5672" width="0" style="302" hidden="1" customWidth="1"/>
    <col min="5673" max="5688" width="0.85546875" style="302"/>
    <col min="5689" max="5689" width="1.28515625" style="302" customWidth="1"/>
    <col min="5690" max="5721" width="0.85546875" style="302"/>
    <col min="5722" max="5722" width="3" style="302" customWidth="1"/>
    <col min="5723" max="5810" width="0.85546875" style="302"/>
    <col min="5811" max="5811" width="4.7109375" style="302" customWidth="1"/>
    <col min="5812" max="5812" width="0.140625" style="302" customWidth="1"/>
    <col min="5813" max="5813" width="0" style="302" hidden="1" customWidth="1"/>
    <col min="5814" max="5828" width="0.85546875" style="302"/>
    <col min="5829" max="5829" width="3.28515625" style="302" customWidth="1"/>
    <col min="5830" max="5830" width="5.85546875" style="302" customWidth="1"/>
    <col min="5831" max="5831" width="16.140625" style="302" customWidth="1"/>
    <col min="5832" max="5832" width="18.5703125" style="302" customWidth="1"/>
    <col min="5833" max="5833" width="17.140625" style="302" customWidth="1"/>
    <col min="5834" max="5834" width="15.5703125" style="302" customWidth="1"/>
    <col min="5835" max="5835" width="12.7109375" style="302" customWidth="1"/>
    <col min="5836" max="5861" width="15.7109375" style="302" customWidth="1"/>
    <col min="5862" max="5908" width="0.85546875" style="302"/>
    <col min="5909" max="5909" width="6" style="302" customWidth="1"/>
    <col min="5910" max="5912" width="0" style="302" hidden="1" customWidth="1"/>
    <col min="5913" max="5926" width="0.85546875" style="302"/>
    <col min="5927" max="5927" width="0.7109375" style="302" customWidth="1"/>
    <col min="5928" max="5928" width="0" style="302" hidden="1" customWidth="1"/>
    <col min="5929" max="5944" width="0.85546875" style="302"/>
    <col min="5945" max="5945" width="1.28515625" style="302" customWidth="1"/>
    <col min="5946" max="5977" width="0.85546875" style="302"/>
    <col min="5978" max="5978" width="3" style="302" customWidth="1"/>
    <col min="5979" max="6066" width="0.85546875" style="302"/>
    <col min="6067" max="6067" width="4.7109375" style="302" customWidth="1"/>
    <col min="6068" max="6068" width="0.140625" style="302" customWidth="1"/>
    <col min="6069" max="6069" width="0" style="302" hidden="1" customWidth="1"/>
    <col min="6070" max="6084" width="0.85546875" style="302"/>
    <col min="6085" max="6085" width="3.28515625" style="302" customWidth="1"/>
    <col min="6086" max="6086" width="5.85546875" style="302" customWidth="1"/>
    <col min="6087" max="6087" width="16.140625" style="302" customWidth="1"/>
    <col min="6088" max="6088" width="18.5703125" style="302" customWidth="1"/>
    <col min="6089" max="6089" width="17.140625" style="302" customWidth="1"/>
    <col min="6090" max="6090" width="15.5703125" style="302" customWidth="1"/>
    <col min="6091" max="6091" width="12.7109375" style="302" customWidth="1"/>
    <col min="6092" max="6117" width="15.7109375" style="302" customWidth="1"/>
    <col min="6118" max="6164" width="0.85546875" style="302"/>
    <col min="6165" max="6165" width="6" style="302" customWidth="1"/>
    <col min="6166" max="6168" width="0" style="302" hidden="1" customWidth="1"/>
    <col min="6169" max="6182" width="0.85546875" style="302"/>
    <col min="6183" max="6183" width="0.7109375" style="302" customWidth="1"/>
    <col min="6184" max="6184" width="0" style="302" hidden="1" customWidth="1"/>
    <col min="6185" max="6200" width="0.85546875" style="302"/>
    <col min="6201" max="6201" width="1.28515625" style="302" customWidth="1"/>
    <col min="6202" max="6233" width="0.85546875" style="302"/>
    <col min="6234" max="6234" width="3" style="302" customWidth="1"/>
    <col min="6235" max="6322" width="0.85546875" style="302"/>
    <col min="6323" max="6323" width="4.7109375" style="302" customWidth="1"/>
    <col min="6324" max="6324" width="0.140625" style="302" customWidth="1"/>
    <col min="6325" max="6325" width="0" style="302" hidden="1" customWidth="1"/>
    <col min="6326" max="6340" width="0.85546875" style="302"/>
    <col min="6341" max="6341" width="3.28515625" style="302" customWidth="1"/>
    <col min="6342" max="6342" width="5.85546875" style="302" customWidth="1"/>
    <col min="6343" max="6343" width="16.140625" style="302" customWidth="1"/>
    <col min="6344" max="6344" width="18.5703125" style="302" customWidth="1"/>
    <col min="6345" max="6345" width="17.140625" style="302" customWidth="1"/>
    <col min="6346" max="6346" width="15.5703125" style="302" customWidth="1"/>
    <col min="6347" max="6347" width="12.7109375" style="302" customWidth="1"/>
    <col min="6348" max="6373" width="15.7109375" style="302" customWidth="1"/>
    <col min="6374" max="6420" width="0.85546875" style="302"/>
    <col min="6421" max="6421" width="6" style="302" customWidth="1"/>
    <col min="6422" max="6424" width="0" style="302" hidden="1" customWidth="1"/>
    <col min="6425" max="6438" width="0.85546875" style="302"/>
    <col min="6439" max="6439" width="0.7109375" style="302" customWidth="1"/>
    <col min="6440" max="6440" width="0" style="302" hidden="1" customWidth="1"/>
    <col min="6441" max="6456" width="0.85546875" style="302"/>
    <col min="6457" max="6457" width="1.28515625" style="302" customWidth="1"/>
    <col min="6458" max="6489" width="0.85546875" style="302"/>
    <col min="6490" max="6490" width="3" style="302" customWidth="1"/>
    <col min="6491" max="6578" width="0.85546875" style="302"/>
    <col min="6579" max="6579" width="4.7109375" style="302" customWidth="1"/>
    <col min="6580" max="6580" width="0.140625" style="302" customWidth="1"/>
    <col min="6581" max="6581" width="0" style="302" hidden="1" customWidth="1"/>
    <col min="6582" max="6596" width="0.85546875" style="302"/>
    <col min="6597" max="6597" width="3.28515625" style="302" customWidth="1"/>
    <col min="6598" max="6598" width="5.85546875" style="302" customWidth="1"/>
    <col min="6599" max="6599" width="16.140625" style="302" customWidth="1"/>
    <col min="6600" max="6600" width="18.5703125" style="302" customWidth="1"/>
    <col min="6601" max="6601" width="17.140625" style="302" customWidth="1"/>
    <col min="6602" max="6602" width="15.5703125" style="302" customWidth="1"/>
    <col min="6603" max="6603" width="12.7109375" style="302" customWidth="1"/>
    <col min="6604" max="6629" width="15.7109375" style="302" customWidth="1"/>
    <col min="6630" max="6676" width="0.85546875" style="302"/>
    <col min="6677" max="6677" width="6" style="302" customWidth="1"/>
    <col min="6678" max="6680" width="0" style="302" hidden="1" customWidth="1"/>
    <col min="6681" max="6694" width="0.85546875" style="302"/>
    <col min="6695" max="6695" width="0.7109375" style="302" customWidth="1"/>
    <col min="6696" max="6696" width="0" style="302" hidden="1" customWidth="1"/>
    <col min="6697" max="6712" width="0.85546875" style="302"/>
    <col min="6713" max="6713" width="1.28515625" style="302" customWidth="1"/>
    <col min="6714" max="6745" width="0.85546875" style="302"/>
    <col min="6746" max="6746" width="3" style="302" customWidth="1"/>
    <col min="6747" max="6834" width="0.85546875" style="302"/>
    <col min="6835" max="6835" width="4.7109375" style="302" customWidth="1"/>
    <col min="6836" max="6836" width="0.140625" style="302" customWidth="1"/>
    <col min="6837" max="6837" width="0" style="302" hidden="1" customWidth="1"/>
    <col min="6838" max="6852" width="0.85546875" style="302"/>
    <col min="6853" max="6853" width="3.28515625" style="302" customWidth="1"/>
    <col min="6854" max="6854" width="5.85546875" style="302" customWidth="1"/>
    <col min="6855" max="6855" width="16.140625" style="302" customWidth="1"/>
    <col min="6856" max="6856" width="18.5703125" style="302" customWidth="1"/>
    <col min="6857" max="6857" width="17.140625" style="302" customWidth="1"/>
    <col min="6858" max="6858" width="15.5703125" style="302" customWidth="1"/>
    <col min="6859" max="6859" width="12.7109375" style="302" customWidth="1"/>
    <col min="6860" max="6885" width="15.7109375" style="302" customWidth="1"/>
    <col min="6886" max="6932" width="0.85546875" style="302"/>
    <col min="6933" max="6933" width="6" style="302" customWidth="1"/>
    <col min="6934" max="6936" width="0" style="302" hidden="1" customWidth="1"/>
    <col min="6937" max="6950" width="0.85546875" style="302"/>
    <col min="6951" max="6951" width="0.7109375" style="302" customWidth="1"/>
    <col min="6952" max="6952" width="0" style="302" hidden="1" customWidth="1"/>
    <col min="6953" max="6968" width="0.85546875" style="302"/>
    <col min="6969" max="6969" width="1.28515625" style="302" customWidth="1"/>
    <col min="6970" max="7001" width="0.85546875" style="302"/>
    <col min="7002" max="7002" width="3" style="302" customWidth="1"/>
    <col min="7003" max="7090" width="0.85546875" style="302"/>
    <col min="7091" max="7091" width="4.7109375" style="302" customWidth="1"/>
    <col min="7092" max="7092" width="0.140625" style="302" customWidth="1"/>
    <col min="7093" max="7093" width="0" style="302" hidden="1" customWidth="1"/>
    <col min="7094" max="7108" width="0.85546875" style="302"/>
    <col min="7109" max="7109" width="3.28515625" style="302" customWidth="1"/>
    <col min="7110" max="7110" width="5.85546875" style="302" customWidth="1"/>
    <col min="7111" max="7111" width="16.140625" style="302" customWidth="1"/>
    <col min="7112" max="7112" width="18.5703125" style="302" customWidth="1"/>
    <col min="7113" max="7113" width="17.140625" style="302" customWidth="1"/>
    <col min="7114" max="7114" width="15.5703125" style="302" customWidth="1"/>
    <col min="7115" max="7115" width="12.7109375" style="302" customWidth="1"/>
    <col min="7116" max="7141" width="15.7109375" style="302" customWidth="1"/>
    <col min="7142" max="7188" width="0.85546875" style="302"/>
    <col min="7189" max="7189" width="6" style="302" customWidth="1"/>
    <col min="7190" max="7192" width="0" style="302" hidden="1" customWidth="1"/>
    <col min="7193" max="7206" width="0.85546875" style="302"/>
    <col min="7207" max="7207" width="0.7109375" style="302" customWidth="1"/>
    <col min="7208" max="7208" width="0" style="302" hidden="1" customWidth="1"/>
    <col min="7209" max="7224" width="0.85546875" style="302"/>
    <col min="7225" max="7225" width="1.28515625" style="302" customWidth="1"/>
    <col min="7226" max="7257" width="0.85546875" style="302"/>
    <col min="7258" max="7258" width="3" style="302" customWidth="1"/>
    <col min="7259" max="7346" width="0.85546875" style="302"/>
    <col min="7347" max="7347" width="4.7109375" style="302" customWidth="1"/>
    <col min="7348" max="7348" width="0.140625" style="302" customWidth="1"/>
    <col min="7349" max="7349" width="0" style="302" hidden="1" customWidth="1"/>
    <col min="7350" max="7364" width="0.85546875" style="302"/>
    <col min="7365" max="7365" width="3.28515625" style="302" customWidth="1"/>
    <col min="7366" max="7366" width="5.85546875" style="302" customWidth="1"/>
    <col min="7367" max="7367" width="16.140625" style="302" customWidth="1"/>
    <col min="7368" max="7368" width="18.5703125" style="302" customWidth="1"/>
    <col min="7369" max="7369" width="17.140625" style="302" customWidth="1"/>
    <col min="7370" max="7370" width="15.5703125" style="302" customWidth="1"/>
    <col min="7371" max="7371" width="12.7109375" style="302" customWidth="1"/>
    <col min="7372" max="7397" width="15.7109375" style="302" customWidth="1"/>
    <col min="7398" max="7444" width="0.85546875" style="302"/>
    <col min="7445" max="7445" width="6" style="302" customWidth="1"/>
    <col min="7446" max="7448" width="0" style="302" hidden="1" customWidth="1"/>
    <col min="7449" max="7462" width="0.85546875" style="302"/>
    <col min="7463" max="7463" width="0.7109375" style="302" customWidth="1"/>
    <col min="7464" max="7464" width="0" style="302" hidden="1" customWidth="1"/>
    <col min="7465" max="7480" width="0.85546875" style="302"/>
    <col min="7481" max="7481" width="1.28515625" style="302" customWidth="1"/>
    <col min="7482" max="7513" width="0.85546875" style="302"/>
    <col min="7514" max="7514" width="3" style="302" customWidth="1"/>
    <col min="7515" max="7602" width="0.85546875" style="302"/>
    <col min="7603" max="7603" width="4.7109375" style="302" customWidth="1"/>
    <col min="7604" max="7604" width="0.140625" style="302" customWidth="1"/>
    <col min="7605" max="7605" width="0" style="302" hidden="1" customWidth="1"/>
    <col min="7606" max="7620" width="0.85546875" style="302"/>
    <col min="7621" max="7621" width="3.28515625" style="302" customWidth="1"/>
    <col min="7622" max="7622" width="5.85546875" style="302" customWidth="1"/>
    <col min="7623" max="7623" width="16.140625" style="302" customWidth="1"/>
    <col min="7624" max="7624" width="18.5703125" style="302" customWidth="1"/>
    <col min="7625" max="7625" width="17.140625" style="302" customWidth="1"/>
    <col min="7626" max="7626" width="15.5703125" style="302" customWidth="1"/>
    <col min="7627" max="7627" width="12.7109375" style="302" customWidth="1"/>
    <col min="7628" max="7653" width="15.7109375" style="302" customWidth="1"/>
    <col min="7654" max="7700" width="0.85546875" style="302"/>
    <col min="7701" max="7701" width="6" style="302" customWidth="1"/>
    <col min="7702" max="7704" width="0" style="302" hidden="1" customWidth="1"/>
    <col min="7705" max="7718" width="0.85546875" style="302"/>
    <col min="7719" max="7719" width="0.7109375" style="302" customWidth="1"/>
    <col min="7720" max="7720" width="0" style="302" hidden="1" customWidth="1"/>
    <col min="7721" max="7736" width="0.85546875" style="302"/>
    <col min="7737" max="7737" width="1.28515625" style="302" customWidth="1"/>
    <col min="7738" max="7769" width="0.85546875" style="302"/>
    <col min="7770" max="7770" width="3" style="302" customWidth="1"/>
    <col min="7771" max="7858" width="0.85546875" style="302"/>
    <col min="7859" max="7859" width="4.7109375" style="302" customWidth="1"/>
    <col min="7860" max="7860" width="0.140625" style="302" customWidth="1"/>
    <col min="7861" max="7861" width="0" style="302" hidden="1" customWidth="1"/>
    <col min="7862" max="7876" width="0.85546875" style="302"/>
    <col min="7877" max="7877" width="3.28515625" style="302" customWidth="1"/>
    <col min="7878" max="7878" width="5.85546875" style="302" customWidth="1"/>
    <col min="7879" max="7879" width="16.140625" style="302" customWidth="1"/>
    <col min="7880" max="7880" width="18.5703125" style="302" customWidth="1"/>
    <col min="7881" max="7881" width="17.140625" style="302" customWidth="1"/>
    <col min="7882" max="7882" width="15.5703125" style="302" customWidth="1"/>
    <col min="7883" max="7883" width="12.7109375" style="302" customWidth="1"/>
    <col min="7884" max="7909" width="15.7109375" style="302" customWidth="1"/>
    <col min="7910" max="7956" width="0.85546875" style="302"/>
    <col min="7957" max="7957" width="6" style="302" customWidth="1"/>
    <col min="7958" max="7960" width="0" style="302" hidden="1" customWidth="1"/>
    <col min="7961" max="7974" width="0.85546875" style="302"/>
    <col min="7975" max="7975" width="0.7109375" style="302" customWidth="1"/>
    <col min="7976" max="7976" width="0" style="302" hidden="1" customWidth="1"/>
    <col min="7977" max="7992" width="0.85546875" style="302"/>
    <col min="7993" max="7993" width="1.28515625" style="302" customWidth="1"/>
    <col min="7994" max="8025" width="0.85546875" style="302"/>
    <col min="8026" max="8026" width="3" style="302" customWidth="1"/>
    <col min="8027" max="8114" width="0.85546875" style="302"/>
    <col min="8115" max="8115" width="4.7109375" style="302" customWidth="1"/>
    <col min="8116" max="8116" width="0.140625" style="302" customWidth="1"/>
    <col min="8117" max="8117" width="0" style="302" hidden="1" customWidth="1"/>
    <col min="8118" max="8132" width="0.85546875" style="302"/>
    <col min="8133" max="8133" width="3.28515625" style="302" customWidth="1"/>
    <col min="8134" max="8134" width="5.85546875" style="302" customWidth="1"/>
    <col min="8135" max="8135" width="16.140625" style="302" customWidth="1"/>
    <col min="8136" max="8136" width="18.5703125" style="302" customWidth="1"/>
    <col min="8137" max="8137" width="17.140625" style="302" customWidth="1"/>
    <col min="8138" max="8138" width="15.5703125" style="302" customWidth="1"/>
    <col min="8139" max="8139" width="12.7109375" style="302" customWidth="1"/>
    <col min="8140" max="8165" width="15.7109375" style="302" customWidth="1"/>
    <col min="8166" max="8212" width="0.85546875" style="302"/>
    <col min="8213" max="8213" width="6" style="302" customWidth="1"/>
    <col min="8214" max="8216" width="0" style="302" hidden="1" customWidth="1"/>
    <col min="8217" max="8230" width="0.85546875" style="302"/>
    <col min="8231" max="8231" width="0.7109375" style="302" customWidth="1"/>
    <col min="8232" max="8232" width="0" style="302" hidden="1" customWidth="1"/>
    <col min="8233" max="8248" width="0.85546875" style="302"/>
    <col min="8249" max="8249" width="1.28515625" style="302" customWidth="1"/>
    <col min="8250" max="8281" width="0.85546875" style="302"/>
    <col min="8282" max="8282" width="3" style="302" customWidth="1"/>
    <col min="8283" max="8370" width="0.85546875" style="302"/>
    <col min="8371" max="8371" width="4.7109375" style="302" customWidth="1"/>
    <col min="8372" max="8372" width="0.140625" style="302" customWidth="1"/>
    <col min="8373" max="8373" width="0" style="302" hidden="1" customWidth="1"/>
    <col min="8374" max="8388" width="0.85546875" style="302"/>
    <col min="8389" max="8389" width="3.28515625" style="302" customWidth="1"/>
    <col min="8390" max="8390" width="5.85546875" style="302" customWidth="1"/>
    <col min="8391" max="8391" width="16.140625" style="302" customWidth="1"/>
    <col min="8392" max="8392" width="18.5703125" style="302" customWidth="1"/>
    <col min="8393" max="8393" width="17.140625" style="302" customWidth="1"/>
    <col min="8394" max="8394" width="15.5703125" style="302" customWidth="1"/>
    <col min="8395" max="8395" width="12.7109375" style="302" customWidth="1"/>
    <col min="8396" max="8421" width="15.7109375" style="302" customWidth="1"/>
    <col min="8422" max="8468" width="0.85546875" style="302"/>
    <col min="8469" max="8469" width="6" style="302" customWidth="1"/>
    <col min="8470" max="8472" width="0" style="302" hidden="1" customWidth="1"/>
    <col min="8473" max="8486" width="0.85546875" style="302"/>
    <col min="8487" max="8487" width="0.7109375" style="302" customWidth="1"/>
    <col min="8488" max="8488" width="0" style="302" hidden="1" customWidth="1"/>
    <col min="8489" max="8504" width="0.85546875" style="302"/>
    <col min="8505" max="8505" width="1.28515625" style="302" customWidth="1"/>
    <col min="8506" max="8537" width="0.85546875" style="302"/>
    <col min="8538" max="8538" width="3" style="302" customWidth="1"/>
    <col min="8539" max="8626" width="0.85546875" style="302"/>
    <col min="8627" max="8627" width="4.7109375" style="302" customWidth="1"/>
    <col min="8628" max="8628" width="0.140625" style="302" customWidth="1"/>
    <col min="8629" max="8629" width="0" style="302" hidden="1" customWidth="1"/>
    <col min="8630" max="8644" width="0.85546875" style="302"/>
    <col min="8645" max="8645" width="3.28515625" style="302" customWidth="1"/>
    <col min="8646" max="8646" width="5.85546875" style="302" customWidth="1"/>
    <col min="8647" max="8647" width="16.140625" style="302" customWidth="1"/>
    <col min="8648" max="8648" width="18.5703125" style="302" customWidth="1"/>
    <col min="8649" max="8649" width="17.140625" style="302" customWidth="1"/>
    <col min="8650" max="8650" width="15.5703125" style="302" customWidth="1"/>
    <col min="8651" max="8651" width="12.7109375" style="302" customWidth="1"/>
    <col min="8652" max="8677" width="15.7109375" style="302" customWidth="1"/>
    <col min="8678" max="8724" width="0.85546875" style="302"/>
    <col min="8725" max="8725" width="6" style="302" customWidth="1"/>
    <col min="8726" max="8728" width="0" style="302" hidden="1" customWidth="1"/>
    <col min="8729" max="8742" width="0.85546875" style="302"/>
    <col min="8743" max="8743" width="0.7109375" style="302" customWidth="1"/>
    <col min="8744" max="8744" width="0" style="302" hidden="1" customWidth="1"/>
    <col min="8745" max="8760" width="0.85546875" style="302"/>
    <col min="8761" max="8761" width="1.28515625" style="302" customWidth="1"/>
    <col min="8762" max="8793" width="0.85546875" style="302"/>
    <col min="8794" max="8794" width="3" style="302" customWidth="1"/>
    <col min="8795" max="8882" width="0.85546875" style="302"/>
    <col min="8883" max="8883" width="4.7109375" style="302" customWidth="1"/>
    <col min="8884" max="8884" width="0.140625" style="302" customWidth="1"/>
    <col min="8885" max="8885" width="0" style="302" hidden="1" customWidth="1"/>
    <col min="8886" max="8900" width="0.85546875" style="302"/>
    <col min="8901" max="8901" width="3.28515625" style="302" customWidth="1"/>
    <col min="8902" max="8902" width="5.85546875" style="302" customWidth="1"/>
    <col min="8903" max="8903" width="16.140625" style="302" customWidth="1"/>
    <col min="8904" max="8904" width="18.5703125" style="302" customWidth="1"/>
    <col min="8905" max="8905" width="17.140625" style="302" customWidth="1"/>
    <col min="8906" max="8906" width="15.5703125" style="302" customWidth="1"/>
    <col min="8907" max="8907" width="12.7109375" style="302" customWidth="1"/>
    <col min="8908" max="8933" width="15.7109375" style="302" customWidth="1"/>
    <col min="8934" max="8980" width="0.85546875" style="302"/>
    <col min="8981" max="8981" width="6" style="302" customWidth="1"/>
    <col min="8982" max="8984" width="0" style="302" hidden="1" customWidth="1"/>
    <col min="8985" max="8998" width="0.85546875" style="302"/>
    <col min="8999" max="8999" width="0.7109375" style="302" customWidth="1"/>
    <col min="9000" max="9000" width="0" style="302" hidden="1" customWidth="1"/>
    <col min="9001" max="9016" width="0.85546875" style="302"/>
    <col min="9017" max="9017" width="1.28515625" style="302" customWidth="1"/>
    <col min="9018" max="9049" width="0.85546875" style="302"/>
    <col min="9050" max="9050" width="3" style="302" customWidth="1"/>
    <col min="9051" max="9138" width="0.85546875" style="302"/>
    <col min="9139" max="9139" width="4.7109375" style="302" customWidth="1"/>
    <col min="9140" max="9140" width="0.140625" style="302" customWidth="1"/>
    <col min="9141" max="9141" width="0" style="302" hidden="1" customWidth="1"/>
    <col min="9142" max="9156" width="0.85546875" style="302"/>
    <col min="9157" max="9157" width="3.28515625" style="302" customWidth="1"/>
    <col min="9158" max="9158" width="5.85546875" style="302" customWidth="1"/>
    <col min="9159" max="9159" width="16.140625" style="302" customWidth="1"/>
    <col min="9160" max="9160" width="18.5703125" style="302" customWidth="1"/>
    <col min="9161" max="9161" width="17.140625" style="302" customWidth="1"/>
    <col min="9162" max="9162" width="15.5703125" style="302" customWidth="1"/>
    <col min="9163" max="9163" width="12.7109375" style="302" customWidth="1"/>
    <col min="9164" max="9189" width="15.7109375" style="302" customWidth="1"/>
    <col min="9190" max="9236" width="0.85546875" style="302"/>
    <col min="9237" max="9237" width="6" style="302" customWidth="1"/>
    <col min="9238" max="9240" width="0" style="302" hidden="1" customWidth="1"/>
    <col min="9241" max="9254" width="0.85546875" style="302"/>
    <col min="9255" max="9255" width="0.7109375" style="302" customWidth="1"/>
    <col min="9256" max="9256" width="0" style="302" hidden="1" customWidth="1"/>
    <col min="9257" max="9272" width="0.85546875" style="302"/>
    <col min="9273" max="9273" width="1.28515625" style="302" customWidth="1"/>
    <col min="9274" max="9305" width="0.85546875" style="302"/>
    <col min="9306" max="9306" width="3" style="302" customWidth="1"/>
    <col min="9307" max="9394" width="0.85546875" style="302"/>
    <col min="9395" max="9395" width="4.7109375" style="302" customWidth="1"/>
    <col min="9396" max="9396" width="0.140625" style="302" customWidth="1"/>
    <col min="9397" max="9397" width="0" style="302" hidden="1" customWidth="1"/>
    <col min="9398" max="9412" width="0.85546875" style="302"/>
    <col min="9413" max="9413" width="3.28515625" style="302" customWidth="1"/>
    <col min="9414" max="9414" width="5.85546875" style="302" customWidth="1"/>
    <col min="9415" max="9415" width="16.140625" style="302" customWidth="1"/>
    <col min="9416" max="9416" width="18.5703125" style="302" customWidth="1"/>
    <col min="9417" max="9417" width="17.140625" style="302" customWidth="1"/>
    <col min="9418" max="9418" width="15.5703125" style="302" customWidth="1"/>
    <col min="9419" max="9419" width="12.7109375" style="302" customWidth="1"/>
    <col min="9420" max="9445" width="15.7109375" style="302" customWidth="1"/>
    <col min="9446" max="9492" width="0.85546875" style="302"/>
    <col min="9493" max="9493" width="6" style="302" customWidth="1"/>
    <col min="9494" max="9496" width="0" style="302" hidden="1" customWidth="1"/>
    <col min="9497" max="9510" width="0.85546875" style="302"/>
    <col min="9511" max="9511" width="0.7109375" style="302" customWidth="1"/>
    <col min="9512" max="9512" width="0" style="302" hidden="1" customWidth="1"/>
    <col min="9513" max="9528" width="0.85546875" style="302"/>
    <col min="9529" max="9529" width="1.28515625" style="302" customWidth="1"/>
    <col min="9530" max="9561" width="0.85546875" style="302"/>
    <col min="9562" max="9562" width="3" style="302" customWidth="1"/>
    <col min="9563" max="9650" width="0.85546875" style="302"/>
    <col min="9651" max="9651" width="4.7109375" style="302" customWidth="1"/>
    <col min="9652" max="9652" width="0.140625" style="302" customWidth="1"/>
    <col min="9653" max="9653" width="0" style="302" hidden="1" customWidth="1"/>
    <col min="9654" max="9668" width="0.85546875" style="302"/>
    <col min="9669" max="9669" width="3.28515625" style="302" customWidth="1"/>
    <col min="9670" max="9670" width="5.85546875" style="302" customWidth="1"/>
    <col min="9671" max="9671" width="16.140625" style="302" customWidth="1"/>
    <col min="9672" max="9672" width="18.5703125" style="302" customWidth="1"/>
    <col min="9673" max="9673" width="17.140625" style="302" customWidth="1"/>
    <col min="9674" max="9674" width="15.5703125" style="302" customWidth="1"/>
    <col min="9675" max="9675" width="12.7109375" style="302" customWidth="1"/>
    <col min="9676" max="9701" width="15.7109375" style="302" customWidth="1"/>
    <col min="9702" max="9748" width="0.85546875" style="302"/>
    <col min="9749" max="9749" width="6" style="302" customWidth="1"/>
    <col min="9750" max="9752" width="0" style="302" hidden="1" customWidth="1"/>
    <col min="9753" max="9766" width="0.85546875" style="302"/>
    <col min="9767" max="9767" width="0.7109375" style="302" customWidth="1"/>
    <col min="9768" max="9768" width="0" style="302" hidden="1" customWidth="1"/>
    <col min="9769" max="9784" width="0.85546875" style="302"/>
    <col min="9785" max="9785" width="1.28515625" style="302" customWidth="1"/>
    <col min="9786" max="9817" width="0.85546875" style="302"/>
    <col min="9818" max="9818" width="3" style="302" customWidth="1"/>
    <col min="9819" max="9906" width="0.85546875" style="302"/>
    <col min="9907" max="9907" width="4.7109375" style="302" customWidth="1"/>
    <col min="9908" max="9908" width="0.140625" style="302" customWidth="1"/>
    <col min="9909" max="9909" width="0" style="302" hidden="1" customWidth="1"/>
    <col min="9910" max="9924" width="0.85546875" style="302"/>
    <col min="9925" max="9925" width="3.28515625" style="302" customWidth="1"/>
    <col min="9926" max="9926" width="5.85546875" style="302" customWidth="1"/>
    <col min="9927" max="9927" width="16.140625" style="302" customWidth="1"/>
    <col min="9928" max="9928" width="18.5703125" style="302" customWidth="1"/>
    <col min="9929" max="9929" width="17.140625" style="302" customWidth="1"/>
    <col min="9930" max="9930" width="15.5703125" style="302" customWidth="1"/>
    <col min="9931" max="9931" width="12.7109375" style="302" customWidth="1"/>
    <col min="9932" max="9957" width="15.7109375" style="302" customWidth="1"/>
    <col min="9958" max="10004" width="0.85546875" style="302"/>
    <col min="10005" max="10005" width="6" style="302" customWidth="1"/>
    <col min="10006" max="10008" width="0" style="302" hidden="1" customWidth="1"/>
    <col min="10009" max="10022" width="0.85546875" style="302"/>
    <col min="10023" max="10023" width="0.7109375" style="302" customWidth="1"/>
    <col min="10024" max="10024" width="0" style="302" hidden="1" customWidth="1"/>
    <col min="10025" max="10040" width="0.85546875" style="302"/>
    <col min="10041" max="10041" width="1.28515625" style="302" customWidth="1"/>
    <col min="10042" max="10073" width="0.85546875" style="302"/>
    <col min="10074" max="10074" width="3" style="302" customWidth="1"/>
    <col min="10075" max="10162" width="0.85546875" style="302"/>
    <col min="10163" max="10163" width="4.7109375" style="302" customWidth="1"/>
    <col min="10164" max="10164" width="0.140625" style="302" customWidth="1"/>
    <col min="10165" max="10165" width="0" style="302" hidden="1" customWidth="1"/>
    <col min="10166" max="10180" width="0.85546875" style="302"/>
    <col min="10181" max="10181" width="3.28515625" style="302" customWidth="1"/>
    <col min="10182" max="10182" width="5.85546875" style="302" customWidth="1"/>
    <col min="10183" max="10183" width="16.140625" style="302" customWidth="1"/>
    <col min="10184" max="10184" width="18.5703125" style="302" customWidth="1"/>
    <col min="10185" max="10185" width="17.140625" style="302" customWidth="1"/>
    <col min="10186" max="10186" width="15.5703125" style="302" customWidth="1"/>
    <col min="10187" max="10187" width="12.7109375" style="302" customWidth="1"/>
    <col min="10188" max="10213" width="15.7109375" style="302" customWidth="1"/>
    <col min="10214" max="10260" width="0.85546875" style="302"/>
    <col min="10261" max="10261" width="6" style="302" customWidth="1"/>
    <col min="10262" max="10264" width="0" style="302" hidden="1" customWidth="1"/>
    <col min="10265" max="10278" width="0.85546875" style="302"/>
    <col min="10279" max="10279" width="0.7109375" style="302" customWidth="1"/>
    <col min="10280" max="10280" width="0" style="302" hidden="1" customWidth="1"/>
    <col min="10281" max="10296" width="0.85546875" style="302"/>
    <col min="10297" max="10297" width="1.28515625" style="302" customWidth="1"/>
    <col min="10298" max="10329" width="0.85546875" style="302"/>
    <col min="10330" max="10330" width="3" style="302" customWidth="1"/>
    <col min="10331" max="10418" width="0.85546875" style="302"/>
    <col min="10419" max="10419" width="4.7109375" style="302" customWidth="1"/>
    <col min="10420" max="10420" width="0.140625" style="302" customWidth="1"/>
    <col min="10421" max="10421" width="0" style="302" hidden="1" customWidth="1"/>
    <col min="10422" max="10436" width="0.85546875" style="302"/>
    <col min="10437" max="10437" width="3.28515625" style="302" customWidth="1"/>
    <col min="10438" max="10438" width="5.85546875" style="302" customWidth="1"/>
    <col min="10439" max="10439" width="16.140625" style="302" customWidth="1"/>
    <col min="10440" max="10440" width="18.5703125" style="302" customWidth="1"/>
    <col min="10441" max="10441" width="17.140625" style="302" customWidth="1"/>
    <col min="10442" max="10442" width="15.5703125" style="302" customWidth="1"/>
    <col min="10443" max="10443" width="12.7109375" style="302" customWidth="1"/>
    <col min="10444" max="10469" width="15.7109375" style="302" customWidth="1"/>
    <col min="10470" max="10516" width="0.85546875" style="302"/>
    <col min="10517" max="10517" width="6" style="302" customWidth="1"/>
    <col min="10518" max="10520" width="0" style="302" hidden="1" customWidth="1"/>
    <col min="10521" max="10534" width="0.85546875" style="302"/>
    <col min="10535" max="10535" width="0.7109375" style="302" customWidth="1"/>
    <col min="10536" max="10536" width="0" style="302" hidden="1" customWidth="1"/>
    <col min="10537" max="10552" width="0.85546875" style="302"/>
    <col min="10553" max="10553" width="1.28515625" style="302" customWidth="1"/>
    <col min="10554" max="10585" width="0.85546875" style="302"/>
    <col min="10586" max="10586" width="3" style="302" customWidth="1"/>
    <col min="10587" max="10674" width="0.85546875" style="302"/>
    <col min="10675" max="10675" width="4.7109375" style="302" customWidth="1"/>
    <col min="10676" max="10676" width="0.140625" style="302" customWidth="1"/>
    <col min="10677" max="10677" width="0" style="302" hidden="1" customWidth="1"/>
    <col min="10678" max="10692" width="0.85546875" style="302"/>
    <col min="10693" max="10693" width="3.28515625" style="302" customWidth="1"/>
    <col min="10694" max="10694" width="5.85546875" style="302" customWidth="1"/>
    <col min="10695" max="10695" width="16.140625" style="302" customWidth="1"/>
    <col min="10696" max="10696" width="18.5703125" style="302" customWidth="1"/>
    <col min="10697" max="10697" width="17.140625" style="302" customWidth="1"/>
    <col min="10698" max="10698" width="15.5703125" style="302" customWidth="1"/>
    <col min="10699" max="10699" width="12.7109375" style="302" customWidth="1"/>
    <col min="10700" max="10725" width="15.7109375" style="302" customWidth="1"/>
    <col min="10726" max="10772" width="0.85546875" style="302"/>
    <col min="10773" max="10773" width="6" style="302" customWidth="1"/>
    <col min="10774" max="10776" width="0" style="302" hidden="1" customWidth="1"/>
    <col min="10777" max="10790" width="0.85546875" style="302"/>
    <col min="10791" max="10791" width="0.7109375" style="302" customWidth="1"/>
    <col min="10792" max="10792" width="0" style="302" hidden="1" customWidth="1"/>
    <col min="10793" max="10808" width="0.85546875" style="302"/>
    <col min="10809" max="10809" width="1.28515625" style="302" customWidth="1"/>
    <col min="10810" max="10841" width="0.85546875" style="302"/>
    <col min="10842" max="10842" width="3" style="302" customWidth="1"/>
    <col min="10843" max="10930" width="0.85546875" style="302"/>
    <col min="10931" max="10931" width="4.7109375" style="302" customWidth="1"/>
    <col min="10932" max="10932" width="0.140625" style="302" customWidth="1"/>
    <col min="10933" max="10933" width="0" style="302" hidden="1" customWidth="1"/>
    <col min="10934" max="10948" width="0.85546875" style="302"/>
    <col min="10949" max="10949" width="3.28515625" style="302" customWidth="1"/>
    <col min="10950" max="10950" width="5.85546875" style="302" customWidth="1"/>
    <col min="10951" max="10951" width="16.140625" style="302" customWidth="1"/>
    <col min="10952" max="10952" width="18.5703125" style="302" customWidth="1"/>
    <col min="10953" max="10953" width="17.140625" style="302" customWidth="1"/>
    <col min="10954" max="10954" width="15.5703125" style="302" customWidth="1"/>
    <col min="10955" max="10955" width="12.7109375" style="302" customWidth="1"/>
    <col min="10956" max="10981" width="15.7109375" style="302" customWidth="1"/>
    <col min="10982" max="11028" width="0.85546875" style="302"/>
    <col min="11029" max="11029" width="6" style="302" customWidth="1"/>
    <col min="11030" max="11032" width="0" style="302" hidden="1" customWidth="1"/>
    <col min="11033" max="11046" width="0.85546875" style="302"/>
    <col min="11047" max="11047" width="0.7109375" style="302" customWidth="1"/>
    <col min="11048" max="11048" width="0" style="302" hidden="1" customWidth="1"/>
    <col min="11049" max="11064" width="0.85546875" style="302"/>
    <col min="11065" max="11065" width="1.28515625" style="302" customWidth="1"/>
    <col min="11066" max="11097" width="0.85546875" style="302"/>
    <col min="11098" max="11098" width="3" style="302" customWidth="1"/>
    <col min="11099" max="11186" width="0.85546875" style="302"/>
    <col min="11187" max="11187" width="4.7109375" style="302" customWidth="1"/>
    <col min="11188" max="11188" width="0.140625" style="302" customWidth="1"/>
    <col min="11189" max="11189" width="0" style="302" hidden="1" customWidth="1"/>
    <col min="11190" max="11204" width="0.85546875" style="302"/>
    <col min="11205" max="11205" width="3.28515625" style="302" customWidth="1"/>
    <col min="11206" max="11206" width="5.85546875" style="302" customWidth="1"/>
    <col min="11207" max="11207" width="16.140625" style="302" customWidth="1"/>
    <col min="11208" max="11208" width="18.5703125" style="302" customWidth="1"/>
    <col min="11209" max="11209" width="17.140625" style="302" customWidth="1"/>
    <col min="11210" max="11210" width="15.5703125" style="302" customWidth="1"/>
    <col min="11211" max="11211" width="12.7109375" style="302" customWidth="1"/>
    <col min="11212" max="11237" width="15.7109375" style="302" customWidth="1"/>
    <col min="11238" max="11284" width="0.85546875" style="302"/>
    <col min="11285" max="11285" width="6" style="302" customWidth="1"/>
    <col min="11286" max="11288" width="0" style="302" hidden="1" customWidth="1"/>
    <col min="11289" max="11302" width="0.85546875" style="302"/>
    <col min="11303" max="11303" width="0.7109375" style="302" customWidth="1"/>
    <col min="11304" max="11304" width="0" style="302" hidden="1" customWidth="1"/>
    <col min="11305" max="11320" width="0.85546875" style="302"/>
    <col min="11321" max="11321" width="1.28515625" style="302" customWidth="1"/>
    <col min="11322" max="11353" width="0.85546875" style="302"/>
    <col min="11354" max="11354" width="3" style="302" customWidth="1"/>
    <col min="11355" max="11442" width="0.85546875" style="302"/>
    <col min="11443" max="11443" width="4.7109375" style="302" customWidth="1"/>
    <col min="11444" max="11444" width="0.140625" style="302" customWidth="1"/>
    <col min="11445" max="11445" width="0" style="302" hidden="1" customWidth="1"/>
    <col min="11446" max="11460" width="0.85546875" style="302"/>
    <col min="11461" max="11461" width="3.28515625" style="302" customWidth="1"/>
    <col min="11462" max="11462" width="5.85546875" style="302" customWidth="1"/>
    <col min="11463" max="11463" width="16.140625" style="302" customWidth="1"/>
    <col min="11464" max="11464" width="18.5703125" style="302" customWidth="1"/>
    <col min="11465" max="11465" width="17.140625" style="302" customWidth="1"/>
    <col min="11466" max="11466" width="15.5703125" style="302" customWidth="1"/>
    <col min="11467" max="11467" width="12.7109375" style="302" customWidth="1"/>
    <col min="11468" max="11493" width="15.7109375" style="302" customWidth="1"/>
    <col min="11494" max="11540" width="0.85546875" style="302"/>
    <col min="11541" max="11541" width="6" style="302" customWidth="1"/>
    <col min="11542" max="11544" width="0" style="302" hidden="1" customWidth="1"/>
    <col min="11545" max="11558" width="0.85546875" style="302"/>
    <col min="11559" max="11559" width="0.7109375" style="302" customWidth="1"/>
    <col min="11560" max="11560" width="0" style="302" hidden="1" customWidth="1"/>
    <col min="11561" max="11576" width="0.85546875" style="302"/>
    <col min="11577" max="11577" width="1.28515625" style="302" customWidth="1"/>
    <col min="11578" max="11609" width="0.85546875" style="302"/>
    <col min="11610" max="11610" width="3" style="302" customWidth="1"/>
    <col min="11611" max="11698" width="0.85546875" style="302"/>
    <col min="11699" max="11699" width="4.7109375" style="302" customWidth="1"/>
    <col min="11700" max="11700" width="0.140625" style="302" customWidth="1"/>
    <col min="11701" max="11701" width="0" style="302" hidden="1" customWidth="1"/>
    <col min="11702" max="11716" width="0.85546875" style="302"/>
    <col min="11717" max="11717" width="3.28515625" style="302" customWidth="1"/>
    <col min="11718" max="11718" width="5.85546875" style="302" customWidth="1"/>
    <col min="11719" max="11719" width="16.140625" style="302" customWidth="1"/>
    <col min="11720" max="11720" width="18.5703125" style="302" customWidth="1"/>
    <col min="11721" max="11721" width="17.140625" style="302" customWidth="1"/>
    <col min="11722" max="11722" width="15.5703125" style="302" customWidth="1"/>
    <col min="11723" max="11723" width="12.7109375" style="302" customWidth="1"/>
    <col min="11724" max="11749" width="15.7109375" style="302" customWidth="1"/>
    <col min="11750" max="11796" width="0.85546875" style="302"/>
    <col min="11797" max="11797" width="6" style="302" customWidth="1"/>
    <col min="11798" max="11800" width="0" style="302" hidden="1" customWidth="1"/>
    <col min="11801" max="11814" width="0.85546875" style="302"/>
    <col min="11815" max="11815" width="0.7109375" style="302" customWidth="1"/>
    <col min="11816" max="11816" width="0" style="302" hidden="1" customWidth="1"/>
    <col min="11817" max="11832" width="0.85546875" style="302"/>
    <col min="11833" max="11833" width="1.28515625" style="302" customWidth="1"/>
    <col min="11834" max="11865" width="0.85546875" style="302"/>
    <col min="11866" max="11866" width="3" style="302" customWidth="1"/>
    <col min="11867" max="11954" width="0.85546875" style="302"/>
    <col min="11955" max="11955" width="4.7109375" style="302" customWidth="1"/>
    <col min="11956" max="11956" width="0.140625" style="302" customWidth="1"/>
    <col min="11957" max="11957" width="0" style="302" hidden="1" customWidth="1"/>
    <col min="11958" max="11972" width="0.85546875" style="302"/>
    <col min="11973" max="11973" width="3.28515625" style="302" customWidth="1"/>
    <col min="11974" max="11974" width="5.85546875" style="302" customWidth="1"/>
    <col min="11975" max="11975" width="16.140625" style="302" customWidth="1"/>
    <col min="11976" max="11976" width="18.5703125" style="302" customWidth="1"/>
    <col min="11977" max="11977" width="17.140625" style="302" customWidth="1"/>
    <col min="11978" max="11978" width="15.5703125" style="302" customWidth="1"/>
    <col min="11979" max="11979" width="12.7109375" style="302" customWidth="1"/>
    <col min="11980" max="12005" width="15.7109375" style="302" customWidth="1"/>
    <col min="12006" max="12052" width="0.85546875" style="302"/>
    <col min="12053" max="12053" width="6" style="302" customWidth="1"/>
    <col min="12054" max="12056" width="0" style="302" hidden="1" customWidth="1"/>
    <col min="12057" max="12070" width="0.85546875" style="302"/>
    <col min="12071" max="12071" width="0.7109375" style="302" customWidth="1"/>
    <col min="12072" max="12072" width="0" style="302" hidden="1" customWidth="1"/>
    <col min="12073" max="12088" width="0.85546875" style="302"/>
    <col min="12089" max="12089" width="1.28515625" style="302" customWidth="1"/>
    <col min="12090" max="12121" width="0.85546875" style="302"/>
    <col min="12122" max="12122" width="3" style="302" customWidth="1"/>
    <col min="12123" max="12210" width="0.85546875" style="302"/>
    <col min="12211" max="12211" width="4.7109375" style="302" customWidth="1"/>
    <col min="12212" max="12212" width="0.140625" style="302" customWidth="1"/>
    <col min="12213" max="12213" width="0" style="302" hidden="1" customWidth="1"/>
    <col min="12214" max="12228" width="0.85546875" style="302"/>
    <col min="12229" max="12229" width="3.28515625" style="302" customWidth="1"/>
    <col min="12230" max="12230" width="5.85546875" style="302" customWidth="1"/>
    <col min="12231" max="12231" width="16.140625" style="302" customWidth="1"/>
    <col min="12232" max="12232" width="18.5703125" style="302" customWidth="1"/>
    <col min="12233" max="12233" width="17.140625" style="302" customWidth="1"/>
    <col min="12234" max="12234" width="15.5703125" style="302" customWidth="1"/>
    <col min="12235" max="12235" width="12.7109375" style="302" customWidth="1"/>
    <col min="12236" max="12261" width="15.7109375" style="302" customWidth="1"/>
    <col min="12262" max="12308" width="0.85546875" style="302"/>
    <col min="12309" max="12309" width="6" style="302" customWidth="1"/>
    <col min="12310" max="12312" width="0" style="302" hidden="1" customWidth="1"/>
    <col min="12313" max="12326" width="0.85546875" style="302"/>
    <col min="12327" max="12327" width="0.7109375" style="302" customWidth="1"/>
    <col min="12328" max="12328" width="0" style="302" hidden="1" customWidth="1"/>
    <col min="12329" max="12344" width="0.85546875" style="302"/>
    <col min="12345" max="12345" width="1.28515625" style="302" customWidth="1"/>
    <col min="12346" max="12377" width="0.85546875" style="302"/>
    <col min="12378" max="12378" width="3" style="302" customWidth="1"/>
    <col min="12379" max="12466" width="0.85546875" style="302"/>
    <col min="12467" max="12467" width="4.7109375" style="302" customWidth="1"/>
    <col min="12468" max="12468" width="0.140625" style="302" customWidth="1"/>
    <col min="12469" max="12469" width="0" style="302" hidden="1" customWidth="1"/>
    <col min="12470" max="12484" width="0.85546875" style="302"/>
    <col min="12485" max="12485" width="3.28515625" style="302" customWidth="1"/>
    <col min="12486" max="12486" width="5.85546875" style="302" customWidth="1"/>
    <col min="12487" max="12487" width="16.140625" style="302" customWidth="1"/>
    <col min="12488" max="12488" width="18.5703125" style="302" customWidth="1"/>
    <col min="12489" max="12489" width="17.140625" style="302" customWidth="1"/>
    <col min="12490" max="12490" width="15.5703125" style="302" customWidth="1"/>
    <col min="12491" max="12491" width="12.7109375" style="302" customWidth="1"/>
    <col min="12492" max="12517" width="15.7109375" style="302" customWidth="1"/>
    <col min="12518" max="12564" width="0.85546875" style="302"/>
    <col min="12565" max="12565" width="6" style="302" customWidth="1"/>
    <col min="12566" max="12568" width="0" style="302" hidden="1" customWidth="1"/>
    <col min="12569" max="12582" width="0.85546875" style="302"/>
    <col min="12583" max="12583" width="0.7109375" style="302" customWidth="1"/>
    <col min="12584" max="12584" width="0" style="302" hidden="1" customWidth="1"/>
    <col min="12585" max="12600" width="0.85546875" style="302"/>
    <col min="12601" max="12601" width="1.28515625" style="302" customWidth="1"/>
    <col min="12602" max="12633" width="0.85546875" style="302"/>
    <col min="12634" max="12634" width="3" style="302" customWidth="1"/>
    <col min="12635" max="12722" width="0.85546875" style="302"/>
    <col min="12723" max="12723" width="4.7109375" style="302" customWidth="1"/>
    <col min="12724" max="12724" width="0.140625" style="302" customWidth="1"/>
    <col min="12725" max="12725" width="0" style="302" hidden="1" customWidth="1"/>
    <col min="12726" max="12740" width="0.85546875" style="302"/>
    <col min="12741" max="12741" width="3.28515625" style="302" customWidth="1"/>
    <col min="12742" max="12742" width="5.85546875" style="302" customWidth="1"/>
    <col min="12743" max="12743" width="16.140625" style="302" customWidth="1"/>
    <col min="12744" max="12744" width="18.5703125" style="302" customWidth="1"/>
    <col min="12745" max="12745" width="17.140625" style="302" customWidth="1"/>
    <col min="12746" max="12746" width="15.5703125" style="302" customWidth="1"/>
    <col min="12747" max="12747" width="12.7109375" style="302" customWidth="1"/>
    <col min="12748" max="12773" width="15.7109375" style="302" customWidth="1"/>
    <col min="12774" max="12820" width="0.85546875" style="302"/>
    <col min="12821" max="12821" width="6" style="302" customWidth="1"/>
    <col min="12822" max="12824" width="0" style="302" hidden="1" customWidth="1"/>
    <col min="12825" max="12838" width="0.85546875" style="302"/>
    <col min="12839" max="12839" width="0.7109375" style="302" customWidth="1"/>
    <col min="12840" max="12840" width="0" style="302" hidden="1" customWidth="1"/>
    <col min="12841" max="12856" width="0.85546875" style="302"/>
    <col min="12857" max="12857" width="1.28515625" style="302" customWidth="1"/>
    <col min="12858" max="12889" width="0.85546875" style="302"/>
    <col min="12890" max="12890" width="3" style="302" customWidth="1"/>
    <col min="12891" max="12978" width="0.85546875" style="302"/>
    <col min="12979" max="12979" width="4.7109375" style="302" customWidth="1"/>
    <col min="12980" max="12980" width="0.140625" style="302" customWidth="1"/>
    <col min="12981" max="12981" width="0" style="302" hidden="1" customWidth="1"/>
    <col min="12982" max="12996" width="0.85546875" style="302"/>
    <col min="12997" max="12997" width="3.28515625" style="302" customWidth="1"/>
    <col min="12998" max="12998" width="5.85546875" style="302" customWidth="1"/>
    <col min="12999" max="12999" width="16.140625" style="302" customWidth="1"/>
    <col min="13000" max="13000" width="18.5703125" style="302" customWidth="1"/>
    <col min="13001" max="13001" width="17.140625" style="302" customWidth="1"/>
    <col min="13002" max="13002" width="15.5703125" style="302" customWidth="1"/>
    <col min="13003" max="13003" width="12.7109375" style="302" customWidth="1"/>
    <col min="13004" max="13029" width="15.7109375" style="302" customWidth="1"/>
    <col min="13030" max="13076" width="0.85546875" style="302"/>
    <col min="13077" max="13077" width="6" style="302" customWidth="1"/>
    <col min="13078" max="13080" width="0" style="302" hidden="1" customWidth="1"/>
    <col min="13081" max="13094" width="0.85546875" style="302"/>
    <col min="13095" max="13095" width="0.7109375" style="302" customWidth="1"/>
    <col min="13096" max="13096" width="0" style="302" hidden="1" customWidth="1"/>
    <col min="13097" max="13112" width="0.85546875" style="302"/>
    <col min="13113" max="13113" width="1.28515625" style="302" customWidth="1"/>
    <col min="13114" max="13145" width="0.85546875" style="302"/>
    <col min="13146" max="13146" width="3" style="302" customWidth="1"/>
    <col min="13147" max="13234" width="0.85546875" style="302"/>
    <col min="13235" max="13235" width="4.7109375" style="302" customWidth="1"/>
    <col min="13236" max="13236" width="0.140625" style="302" customWidth="1"/>
    <col min="13237" max="13237" width="0" style="302" hidden="1" customWidth="1"/>
    <col min="13238" max="13252" width="0.85546875" style="302"/>
    <col min="13253" max="13253" width="3.28515625" style="302" customWidth="1"/>
    <col min="13254" max="13254" width="5.85546875" style="302" customWidth="1"/>
    <col min="13255" max="13255" width="16.140625" style="302" customWidth="1"/>
    <col min="13256" max="13256" width="18.5703125" style="302" customWidth="1"/>
    <col min="13257" max="13257" width="17.140625" style="302" customWidth="1"/>
    <col min="13258" max="13258" width="15.5703125" style="302" customWidth="1"/>
    <col min="13259" max="13259" width="12.7109375" style="302" customWidth="1"/>
    <col min="13260" max="13285" width="15.7109375" style="302" customWidth="1"/>
    <col min="13286" max="13332" width="0.85546875" style="302"/>
    <col min="13333" max="13333" width="6" style="302" customWidth="1"/>
    <col min="13334" max="13336" width="0" style="302" hidden="1" customWidth="1"/>
    <col min="13337" max="13350" width="0.85546875" style="302"/>
    <col min="13351" max="13351" width="0.7109375" style="302" customWidth="1"/>
    <col min="13352" max="13352" width="0" style="302" hidden="1" customWidth="1"/>
    <col min="13353" max="13368" width="0.85546875" style="302"/>
    <col min="13369" max="13369" width="1.28515625" style="302" customWidth="1"/>
    <col min="13370" max="13401" width="0.85546875" style="302"/>
    <col min="13402" max="13402" width="3" style="302" customWidth="1"/>
    <col min="13403" max="13490" width="0.85546875" style="302"/>
    <col min="13491" max="13491" width="4.7109375" style="302" customWidth="1"/>
    <col min="13492" max="13492" width="0.140625" style="302" customWidth="1"/>
    <col min="13493" max="13493" width="0" style="302" hidden="1" customWidth="1"/>
    <col min="13494" max="13508" width="0.85546875" style="302"/>
    <col min="13509" max="13509" width="3.28515625" style="302" customWidth="1"/>
    <col min="13510" max="13510" width="5.85546875" style="302" customWidth="1"/>
    <col min="13511" max="13511" width="16.140625" style="302" customWidth="1"/>
    <col min="13512" max="13512" width="18.5703125" style="302" customWidth="1"/>
    <col min="13513" max="13513" width="17.140625" style="302" customWidth="1"/>
    <col min="13514" max="13514" width="15.5703125" style="302" customWidth="1"/>
    <col min="13515" max="13515" width="12.7109375" style="302" customWidth="1"/>
    <col min="13516" max="13541" width="15.7109375" style="302" customWidth="1"/>
    <col min="13542" max="13588" width="0.85546875" style="302"/>
    <col min="13589" max="13589" width="6" style="302" customWidth="1"/>
    <col min="13590" max="13592" width="0" style="302" hidden="1" customWidth="1"/>
    <col min="13593" max="13606" width="0.85546875" style="302"/>
    <col min="13607" max="13607" width="0.7109375" style="302" customWidth="1"/>
    <col min="13608" max="13608" width="0" style="302" hidden="1" customWidth="1"/>
    <col min="13609" max="13624" width="0.85546875" style="302"/>
    <col min="13625" max="13625" width="1.28515625" style="302" customWidth="1"/>
    <col min="13626" max="13657" width="0.85546875" style="302"/>
    <col min="13658" max="13658" width="3" style="302" customWidth="1"/>
    <col min="13659" max="13746" width="0.85546875" style="302"/>
    <col min="13747" max="13747" width="4.7109375" style="302" customWidth="1"/>
    <col min="13748" max="13748" width="0.140625" style="302" customWidth="1"/>
    <col min="13749" max="13749" width="0" style="302" hidden="1" customWidth="1"/>
    <col min="13750" max="13764" width="0.85546875" style="302"/>
    <col min="13765" max="13765" width="3.28515625" style="302" customWidth="1"/>
    <col min="13766" max="13766" width="5.85546875" style="302" customWidth="1"/>
    <col min="13767" max="13767" width="16.140625" style="302" customWidth="1"/>
    <col min="13768" max="13768" width="18.5703125" style="302" customWidth="1"/>
    <col min="13769" max="13769" width="17.140625" style="302" customWidth="1"/>
    <col min="13770" max="13770" width="15.5703125" style="302" customWidth="1"/>
    <col min="13771" max="13771" width="12.7109375" style="302" customWidth="1"/>
    <col min="13772" max="13797" width="15.7109375" style="302" customWidth="1"/>
    <col min="13798" max="13844" width="0.85546875" style="302"/>
    <col min="13845" max="13845" width="6" style="302" customWidth="1"/>
    <col min="13846" max="13848" width="0" style="302" hidden="1" customWidth="1"/>
    <col min="13849" max="13862" width="0.85546875" style="302"/>
    <col min="13863" max="13863" width="0.7109375" style="302" customWidth="1"/>
    <col min="13864" max="13864" width="0" style="302" hidden="1" customWidth="1"/>
    <col min="13865" max="13880" width="0.85546875" style="302"/>
    <col min="13881" max="13881" width="1.28515625" style="302" customWidth="1"/>
    <col min="13882" max="13913" width="0.85546875" style="302"/>
    <col min="13914" max="13914" width="3" style="302" customWidth="1"/>
    <col min="13915" max="14002" width="0.85546875" style="302"/>
    <col min="14003" max="14003" width="4.7109375" style="302" customWidth="1"/>
    <col min="14004" max="14004" width="0.140625" style="302" customWidth="1"/>
    <col min="14005" max="14005" width="0" style="302" hidden="1" customWidth="1"/>
    <col min="14006" max="14020" width="0.85546875" style="302"/>
    <col min="14021" max="14021" width="3.28515625" style="302" customWidth="1"/>
    <col min="14022" max="14022" width="5.85546875" style="302" customWidth="1"/>
    <col min="14023" max="14023" width="16.140625" style="302" customWidth="1"/>
    <col min="14024" max="14024" width="18.5703125" style="302" customWidth="1"/>
    <col min="14025" max="14025" width="17.140625" style="302" customWidth="1"/>
    <col min="14026" max="14026" width="15.5703125" style="302" customWidth="1"/>
    <col min="14027" max="14027" width="12.7109375" style="302" customWidth="1"/>
    <col min="14028" max="14053" width="15.7109375" style="302" customWidth="1"/>
    <col min="14054" max="14100" width="0.85546875" style="302"/>
    <col min="14101" max="14101" width="6" style="302" customWidth="1"/>
    <col min="14102" max="14104" width="0" style="302" hidden="1" customWidth="1"/>
    <col min="14105" max="14118" width="0.85546875" style="302"/>
    <col min="14119" max="14119" width="0.7109375" style="302" customWidth="1"/>
    <col min="14120" max="14120" width="0" style="302" hidden="1" customWidth="1"/>
    <col min="14121" max="14136" width="0.85546875" style="302"/>
    <col min="14137" max="14137" width="1.28515625" style="302" customWidth="1"/>
    <col min="14138" max="14169" width="0.85546875" style="302"/>
    <col min="14170" max="14170" width="3" style="302" customWidth="1"/>
    <col min="14171" max="14258" width="0.85546875" style="302"/>
    <col min="14259" max="14259" width="4.7109375" style="302" customWidth="1"/>
    <col min="14260" max="14260" width="0.140625" style="302" customWidth="1"/>
    <col min="14261" max="14261" width="0" style="302" hidden="1" customWidth="1"/>
    <col min="14262" max="14276" width="0.85546875" style="302"/>
    <col min="14277" max="14277" width="3.28515625" style="302" customWidth="1"/>
    <col min="14278" max="14278" width="5.85546875" style="302" customWidth="1"/>
    <col min="14279" max="14279" width="16.140625" style="302" customWidth="1"/>
    <col min="14280" max="14280" width="18.5703125" style="302" customWidth="1"/>
    <col min="14281" max="14281" width="17.140625" style="302" customWidth="1"/>
    <col min="14282" max="14282" width="15.5703125" style="302" customWidth="1"/>
    <col min="14283" max="14283" width="12.7109375" style="302" customWidth="1"/>
    <col min="14284" max="14309" width="15.7109375" style="302" customWidth="1"/>
    <col min="14310" max="14356" width="0.85546875" style="302"/>
    <col min="14357" max="14357" width="6" style="302" customWidth="1"/>
    <col min="14358" max="14360" width="0" style="302" hidden="1" customWidth="1"/>
    <col min="14361" max="14374" width="0.85546875" style="302"/>
    <col min="14375" max="14375" width="0.7109375" style="302" customWidth="1"/>
    <col min="14376" max="14376" width="0" style="302" hidden="1" customWidth="1"/>
    <col min="14377" max="14392" width="0.85546875" style="302"/>
    <col min="14393" max="14393" width="1.28515625" style="302" customWidth="1"/>
    <col min="14394" max="14425" width="0.85546875" style="302"/>
    <col min="14426" max="14426" width="3" style="302" customWidth="1"/>
    <col min="14427" max="14514" width="0.85546875" style="302"/>
    <col min="14515" max="14515" width="4.7109375" style="302" customWidth="1"/>
    <col min="14516" max="14516" width="0.140625" style="302" customWidth="1"/>
    <col min="14517" max="14517" width="0" style="302" hidden="1" customWidth="1"/>
    <col min="14518" max="14532" width="0.85546875" style="302"/>
    <col min="14533" max="14533" width="3.28515625" style="302" customWidth="1"/>
    <col min="14534" max="14534" width="5.85546875" style="302" customWidth="1"/>
    <col min="14535" max="14535" width="16.140625" style="302" customWidth="1"/>
    <col min="14536" max="14536" width="18.5703125" style="302" customWidth="1"/>
    <col min="14537" max="14537" width="17.140625" style="302" customWidth="1"/>
    <col min="14538" max="14538" width="15.5703125" style="302" customWidth="1"/>
    <col min="14539" max="14539" width="12.7109375" style="302" customWidth="1"/>
    <col min="14540" max="14565" width="15.7109375" style="302" customWidth="1"/>
    <col min="14566" max="14612" width="0.85546875" style="302"/>
    <col min="14613" max="14613" width="6" style="302" customWidth="1"/>
    <col min="14614" max="14616" width="0" style="302" hidden="1" customWidth="1"/>
    <col min="14617" max="14630" width="0.85546875" style="302"/>
    <col min="14631" max="14631" width="0.7109375" style="302" customWidth="1"/>
    <col min="14632" max="14632" width="0" style="302" hidden="1" customWidth="1"/>
    <col min="14633" max="14648" width="0.85546875" style="302"/>
    <col min="14649" max="14649" width="1.28515625" style="302" customWidth="1"/>
    <col min="14650" max="14681" width="0.85546875" style="302"/>
    <col min="14682" max="14682" width="3" style="302" customWidth="1"/>
    <col min="14683" max="14770" width="0.85546875" style="302"/>
    <col min="14771" max="14771" width="4.7109375" style="302" customWidth="1"/>
    <col min="14772" max="14772" width="0.140625" style="302" customWidth="1"/>
    <col min="14773" max="14773" width="0" style="302" hidden="1" customWidth="1"/>
    <col min="14774" max="14788" width="0.85546875" style="302"/>
    <col min="14789" max="14789" width="3.28515625" style="302" customWidth="1"/>
    <col min="14790" max="14790" width="5.85546875" style="302" customWidth="1"/>
    <col min="14791" max="14791" width="16.140625" style="302" customWidth="1"/>
    <col min="14792" max="14792" width="18.5703125" style="302" customWidth="1"/>
    <col min="14793" max="14793" width="17.140625" style="302" customWidth="1"/>
    <col min="14794" max="14794" width="15.5703125" style="302" customWidth="1"/>
    <col min="14795" max="14795" width="12.7109375" style="302" customWidth="1"/>
    <col min="14796" max="14821" width="15.7109375" style="302" customWidth="1"/>
    <col min="14822" max="14868" width="0.85546875" style="302"/>
    <col min="14869" max="14869" width="6" style="302" customWidth="1"/>
    <col min="14870" max="14872" width="0" style="302" hidden="1" customWidth="1"/>
    <col min="14873" max="14886" width="0.85546875" style="302"/>
    <col min="14887" max="14887" width="0.7109375" style="302" customWidth="1"/>
    <col min="14888" max="14888" width="0" style="302" hidden="1" customWidth="1"/>
    <col min="14889" max="14904" width="0.85546875" style="302"/>
    <col min="14905" max="14905" width="1.28515625" style="302" customWidth="1"/>
    <col min="14906" max="14937" width="0.85546875" style="302"/>
    <col min="14938" max="14938" width="3" style="302" customWidth="1"/>
    <col min="14939" max="15026" width="0.85546875" style="302"/>
    <col min="15027" max="15027" width="4.7109375" style="302" customWidth="1"/>
    <col min="15028" max="15028" width="0.140625" style="302" customWidth="1"/>
    <col min="15029" max="15029" width="0" style="302" hidden="1" customWidth="1"/>
    <col min="15030" max="15044" width="0.85546875" style="302"/>
    <col min="15045" max="15045" width="3.28515625" style="302" customWidth="1"/>
    <col min="15046" max="15046" width="5.85546875" style="302" customWidth="1"/>
    <col min="15047" max="15047" width="16.140625" style="302" customWidth="1"/>
    <col min="15048" max="15048" width="18.5703125" style="302" customWidth="1"/>
    <col min="15049" max="15049" width="17.140625" style="302" customWidth="1"/>
    <col min="15050" max="15050" width="15.5703125" style="302" customWidth="1"/>
    <col min="15051" max="15051" width="12.7109375" style="302" customWidth="1"/>
    <col min="15052" max="15077" width="15.7109375" style="302" customWidth="1"/>
    <col min="15078" max="15124" width="0.85546875" style="302"/>
    <col min="15125" max="15125" width="6" style="302" customWidth="1"/>
    <col min="15126" max="15128" width="0" style="302" hidden="1" customWidth="1"/>
    <col min="15129" max="15142" width="0.85546875" style="302"/>
    <col min="15143" max="15143" width="0.7109375" style="302" customWidth="1"/>
    <col min="15144" max="15144" width="0" style="302" hidden="1" customWidth="1"/>
    <col min="15145" max="15160" width="0.85546875" style="302"/>
    <col min="15161" max="15161" width="1.28515625" style="302" customWidth="1"/>
    <col min="15162" max="15193" width="0.85546875" style="302"/>
    <col min="15194" max="15194" width="3" style="302" customWidth="1"/>
    <col min="15195" max="15282" width="0.85546875" style="302"/>
    <col min="15283" max="15283" width="4.7109375" style="302" customWidth="1"/>
    <col min="15284" max="15284" width="0.140625" style="302" customWidth="1"/>
    <col min="15285" max="15285" width="0" style="302" hidden="1" customWidth="1"/>
    <col min="15286" max="15300" width="0.85546875" style="302"/>
    <col min="15301" max="15301" width="3.28515625" style="302" customWidth="1"/>
    <col min="15302" max="15302" width="5.85546875" style="302" customWidth="1"/>
    <col min="15303" max="15303" width="16.140625" style="302" customWidth="1"/>
    <col min="15304" max="15304" width="18.5703125" style="302" customWidth="1"/>
    <col min="15305" max="15305" width="17.140625" style="302" customWidth="1"/>
    <col min="15306" max="15306" width="15.5703125" style="302" customWidth="1"/>
    <col min="15307" max="15307" width="12.7109375" style="302" customWidth="1"/>
    <col min="15308" max="15333" width="15.7109375" style="302" customWidth="1"/>
    <col min="15334" max="15380" width="0.85546875" style="302"/>
    <col min="15381" max="15381" width="6" style="302" customWidth="1"/>
    <col min="15382" max="15384" width="0" style="302" hidden="1" customWidth="1"/>
    <col min="15385" max="15398" width="0.85546875" style="302"/>
    <col min="15399" max="15399" width="0.7109375" style="302" customWidth="1"/>
    <col min="15400" max="15400" width="0" style="302" hidden="1" customWidth="1"/>
    <col min="15401" max="15416" width="0.85546875" style="302"/>
    <col min="15417" max="15417" width="1.28515625" style="302" customWidth="1"/>
    <col min="15418" max="15449" width="0.85546875" style="302"/>
    <col min="15450" max="15450" width="3" style="302" customWidth="1"/>
    <col min="15451" max="15538" width="0.85546875" style="302"/>
    <col min="15539" max="15539" width="4.7109375" style="302" customWidth="1"/>
    <col min="15540" max="15540" width="0.140625" style="302" customWidth="1"/>
    <col min="15541" max="15541" width="0" style="302" hidden="1" customWidth="1"/>
    <col min="15542" max="15556" width="0.85546875" style="302"/>
    <col min="15557" max="15557" width="3.28515625" style="302" customWidth="1"/>
    <col min="15558" max="15558" width="5.85546875" style="302" customWidth="1"/>
    <col min="15559" max="15559" width="16.140625" style="302" customWidth="1"/>
    <col min="15560" max="15560" width="18.5703125" style="302" customWidth="1"/>
    <col min="15561" max="15561" width="17.140625" style="302" customWidth="1"/>
    <col min="15562" max="15562" width="15.5703125" style="302" customWidth="1"/>
    <col min="15563" max="15563" width="12.7109375" style="302" customWidth="1"/>
    <col min="15564" max="15589" width="15.7109375" style="302" customWidth="1"/>
    <col min="15590" max="15636" width="0.85546875" style="302"/>
    <col min="15637" max="15637" width="6" style="302" customWidth="1"/>
    <col min="15638" max="15640" width="0" style="302" hidden="1" customWidth="1"/>
    <col min="15641" max="15654" width="0.85546875" style="302"/>
    <col min="15655" max="15655" width="0.7109375" style="302" customWidth="1"/>
    <col min="15656" max="15656" width="0" style="302" hidden="1" customWidth="1"/>
    <col min="15657" max="15672" width="0.85546875" style="302"/>
    <col min="15673" max="15673" width="1.28515625" style="302" customWidth="1"/>
    <col min="15674" max="15705" width="0.85546875" style="302"/>
    <col min="15706" max="15706" width="3" style="302" customWidth="1"/>
    <col min="15707" max="15794" width="0.85546875" style="302"/>
    <col min="15795" max="15795" width="4.7109375" style="302" customWidth="1"/>
    <col min="15796" max="15796" width="0.140625" style="302" customWidth="1"/>
    <col min="15797" max="15797" width="0" style="302" hidden="1" customWidth="1"/>
    <col min="15798" max="15812" width="0.85546875" style="302"/>
    <col min="15813" max="15813" width="3.28515625" style="302" customWidth="1"/>
    <col min="15814" max="15814" width="5.85546875" style="302" customWidth="1"/>
    <col min="15815" max="15815" width="16.140625" style="302" customWidth="1"/>
    <col min="15816" max="15816" width="18.5703125" style="302" customWidth="1"/>
    <col min="15817" max="15817" width="17.140625" style="302" customWidth="1"/>
    <col min="15818" max="15818" width="15.5703125" style="302" customWidth="1"/>
    <col min="15819" max="15819" width="12.7109375" style="302" customWidth="1"/>
    <col min="15820" max="15845" width="15.7109375" style="302" customWidth="1"/>
    <col min="15846" max="15892" width="0.85546875" style="302"/>
    <col min="15893" max="15893" width="6" style="302" customWidth="1"/>
    <col min="15894" max="15896" width="0" style="302" hidden="1" customWidth="1"/>
    <col min="15897" max="15910" width="0.85546875" style="302"/>
    <col min="15911" max="15911" width="0.7109375" style="302" customWidth="1"/>
    <col min="15912" max="15912" width="0" style="302" hidden="1" customWidth="1"/>
    <col min="15913" max="15928" width="0.85546875" style="302"/>
    <col min="15929" max="15929" width="1.28515625" style="302" customWidth="1"/>
    <col min="15930" max="15961" width="0.85546875" style="302"/>
    <col min="15962" max="15962" width="3" style="302" customWidth="1"/>
    <col min="15963" max="16050" width="0.85546875" style="302"/>
    <col min="16051" max="16051" width="4.7109375" style="302" customWidth="1"/>
    <col min="16052" max="16052" width="0.140625" style="302" customWidth="1"/>
    <col min="16053" max="16053" width="0" style="302" hidden="1" customWidth="1"/>
    <col min="16054" max="16068" width="0.85546875" style="302"/>
    <col min="16069" max="16069" width="3.28515625" style="302" customWidth="1"/>
    <col min="16070" max="16070" width="5.85546875" style="302" customWidth="1"/>
    <col min="16071" max="16071" width="16.140625" style="302" customWidth="1"/>
    <col min="16072" max="16072" width="18.5703125" style="302" customWidth="1"/>
    <col min="16073" max="16073" width="17.140625" style="302" customWidth="1"/>
    <col min="16074" max="16074" width="15.5703125" style="302" customWidth="1"/>
    <col min="16075" max="16075" width="12.7109375" style="302" customWidth="1"/>
    <col min="16076" max="16101" width="15.7109375" style="302" customWidth="1"/>
    <col min="16102" max="16148" width="0.85546875" style="302"/>
    <col min="16149" max="16149" width="6" style="302" customWidth="1"/>
    <col min="16150" max="16152" width="0" style="302" hidden="1" customWidth="1"/>
    <col min="16153" max="16166" width="0.85546875" style="302"/>
    <col min="16167" max="16167" width="0.7109375" style="302" customWidth="1"/>
    <col min="16168" max="16168" width="0" style="302" hidden="1" customWidth="1"/>
    <col min="16169" max="16184" width="0.85546875" style="302"/>
    <col min="16185" max="16185" width="1.28515625" style="302" customWidth="1"/>
    <col min="16186" max="16217" width="0.85546875" style="302"/>
    <col min="16218" max="16218" width="3" style="302" customWidth="1"/>
    <col min="16219" max="16306" width="0.85546875" style="302"/>
    <col min="16307" max="16307" width="4.7109375" style="302" customWidth="1"/>
    <col min="16308" max="16308" width="0.140625" style="302" customWidth="1"/>
    <col min="16309" max="16309" width="0" style="302" hidden="1" customWidth="1"/>
    <col min="16310" max="16324" width="0.85546875" style="302"/>
    <col min="16325" max="16325" width="3.28515625" style="302" customWidth="1"/>
    <col min="16326" max="16326" width="5.85546875" style="302" customWidth="1"/>
    <col min="16327" max="16327" width="16.140625" style="302" customWidth="1"/>
    <col min="16328" max="16328" width="18.5703125" style="302" customWidth="1"/>
    <col min="16329" max="16329" width="17.140625" style="302" customWidth="1"/>
    <col min="16330" max="16330" width="15.5703125" style="302" customWidth="1"/>
    <col min="16331" max="16331" width="12.7109375" style="302" customWidth="1"/>
    <col min="16332" max="16357" width="15.7109375" style="302" customWidth="1"/>
    <col min="16358" max="16384" width="0.85546875" style="302"/>
  </cols>
  <sheetData>
    <row r="1" spans="1:211">
      <c r="DZ1" s="352"/>
      <c r="EA1" s="352"/>
      <c r="EB1" s="352"/>
      <c r="EC1" s="352"/>
      <c r="ED1" s="352"/>
      <c r="EE1" s="352"/>
      <c r="EF1" s="352"/>
      <c r="EG1" s="352"/>
      <c r="EH1" s="352"/>
      <c r="EI1" s="352"/>
      <c r="EJ1" s="352"/>
      <c r="EK1" s="352"/>
      <c r="EL1" s="352"/>
      <c r="EM1" s="352"/>
      <c r="EN1" s="352"/>
      <c r="EO1" s="352"/>
      <c r="EP1" s="352"/>
      <c r="EQ1" s="352"/>
      <c r="ER1" s="352"/>
      <c r="ES1" s="352"/>
      <c r="ET1" s="352"/>
      <c r="EU1" s="352"/>
      <c r="EV1" s="352"/>
      <c r="EW1" s="352"/>
      <c r="EX1" s="352"/>
      <c r="EY1" s="352"/>
      <c r="EZ1" s="352"/>
      <c r="FA1" s="352"/>
      <c r="FB1" s="352"/>
      <c r="FC1" s="352"/>
      <c r="FD1" s="352"/>
      <c r="FE1" s="352"/>
      <c r="FF1" s="352"/>
      <c r="FG1" s="352"/>
      <c r="FH1" s="352"/>
      <c r="FI1" s="352"/>
      <c r="FJ1" s="352"/>
      <c r="FK1" s="352"/>
      <c r="FL1" s="352"/>
      <c r="FM1" s="352"/>
      <c r="FN1" s="352"/>
      <c r="FO1" s="352"/>
      <c r="FP1" s="352"/>
      <c r="FQ1" s="352"/>
      <c r="FR1" s="352"/>
      <c r="FS1" s="352"/>
      <c r="FT1" s="352"/>
      <c r="FU1" s="352"/>
      <c r="FV1" s="352"/>
      <c r="FW1" s="352"/>
      <c r="FX1" s="352"/>
      <c r="FY1" s="352"/>
      <c r="FZ1" s="352"/>
      <c r="GA1" s="352"/>
      <c r="GB1" s="352"/>
      <c r="GC1" s="352"/>
      <c r="GD1" s="352"/>
      <c r="GE1" s="352"/>
      <c r="GF1" s="352"/>
      <c r="GG1" s="352"/>
      <c r="GH1" s="352"/>
      <c r="GI1" s="352"/>
      <c r="GJ1" s="352"/>
      <c r="GK1" s="352"/>
      <c r="GL1" s="352"/>
      <c r="GM1" s="352"/>
      <c r="GN1" s="352"/>
    </row>
    <row r="3" spans="1:211" s="269" customFormat="1" ht="18.75">
      <c r="A3" s="409" t="s">
        <v>281</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row>
    <row r="4" spans="1:211" ht="30" customHeight="1">
      <c r="A4" s="410" t="s">
        <v>282</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0"/>
    </row>
    <row r="5" spans="1:211" s="270" customFormat="1" ht="18.600000000000001" customHeight="1">
      <c r="A5" s="377" t="s">
        <v>283</v>
      </c>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c r="DF5" s="377"/>
      <c r="DG5" s="377"/>
      <c r="DH5" s="377"/>
      <c r="DI5" s="377"/>
      <c r="DJ5" s="377"/>
      <c r="DK5" s="377"/>
      <c r="DL5" s="377"/>
      <c r="DM5" s="377"/>
      <c r="DN5" s="377"/>
      <c r="DO5" s="377"/>
      <c r="DP5" s="377"/>
      <c r="DQ5" s="377"/>
      <c r="DR5" s="377"/>
      <c r="DS5" s="377"/>
      <c r="DT5" s="377"/>
      <c r="DU5" s="377"/>
      <c r="DV5" s="377"/>
      <c r="DW5" s="377"/>
      <c r="DX5" s="377"/>
      <c r="DY5" s="377"/>
      <c r="DZ5" s="377"/>
      <c r="EA5" s="377"/>
      <c r="EB5" s="377"/>
      <c r="EC5" s="377"/>
      <c r="ED5" s="377"/>
      <c r="EE5" s="377"/>
      <c r="EF5" s="377"/>
      <c r="EG5" s="377"/>
      <c r="EH5" s="377"/>
      <c r="EI5" s="377"/>
      <c r="EJ5" s="377"/>
      <c r="EK5" s="377"/>
      <c r="EL5" s="377"/>
      <c r="EM5" s="377"/>
      <c r="EN5" s="377"/>
      <c r="EO5" s="377"/>
      <c r="EP5" s="377"/>
      <c r="EQ5" s="377"/>
      <c r="ER5" s="377"/>
      <c r="ES5" s="377"/>
      <c r="ET5" s="377"/>
      <c r="EU5" s="377"/>
      <c r="EV5" s="377"/>
      <c r="EW5" s="377"/>
      <c r="EX5" s="377"/>
      <c r="EY5" s="377"/>
      <c r="EZ5" s="377"/>
      <c r="FA5" s="377"/>
      <c r="FB5" s="377"/>
      <c r="FC5" s="377"/>
      <c r="FD5" s="377"/>
      <c r="FE5" s="377"/>
      <c r="FF5" s="377"/>
      <c r="FG5" s="377"/>
      <c r="FH5" s="377"/>
      <c r="FI5" s="377"/>
      <c r="FJ5" s="377"/>
      <c r="FK5" s="377"/>
      <c r="FL5" s="377"/>
      <c r="FM5" s="377"/>
      <c r="FN5" s="377"/>
      <c r="FO5" s="377"/>
      <c r="FP5" s="377"/>
      <c r="FQ5" s="377"/>
      <c r="FR5" s="377"/>
      <c r="FS5" s="377"/>
      <c r="FT5" s="377"/>
      <c r="FU5" s="377"/>
      <c r="FV5" s="377"/>
      <c r="FW5" s="377"/>
      <c r="FX5" s="377"/>
      <c r="FY5" s="377"/>
      <c r="FZ5" s="377"/>
      <c r="GA5" s="377"/>
      <c r="GB5" s="377"/>
      <c r="GC5" s="377"/>
      <c r="GD5" s="377"/>
      <c r="GE5" s="377"/>
      <c r="GF5" s="377"/>
      <c r="GG5" s="377"/>
      <c r="GH5" s="377"/>
      <c r="GI5" s="377"/>
      <c r="GJ5" s="377"/>
      <c r="GK5" s="377"/>
      <c r="GL5" s="377"/>
      <c r="GM5" s="377"/>
      <c r="GN5" s="377"/>
      <c r="GO5" s="377"/>
    </row>
    <row r="6" spans="1:211" ht="6" customHeight="1"/>
    <row r="7" spans="1:211" s="299" customFormat="1" ht="24.75" customHeight="1">
      <c r="A7" s="377" t="s">
        <v>284</v>
      </c>
      <c r="B7" s="377"/>
      <c r="C7" s="377"/>
      <c r="D7" s="377"/>
      <c r="E7" s="377"/>
      <c r="F7" s="377"/>
      <c r="G7" s="377"/>
      <c r="H7" s="377"/>
      <c r="I7" s="377"/>
      <c r="J7" s="377"/>
      <c r="K7" s="377"/>
      <c r="L7" s="377"/>
      <c r="M7" s="377"/>
      <c r="N7" s="377"/>
      <c r="O7" s="377"/>
      <c r="P7" s="377"/>
      <c r="Q7" s="377"/>
      <c r="R7" s="377"/>
      <c r="S7" s="377"/>
      <c r="T7" s="377"/>
      <c r="U7" s="377"/>
      <c r="X7" s="392" t="s">
        <v>285</v>
      </c>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2"/>
      <c r="DG7" s="392"/>
      <c r="DH7" s="392"/>
      <c r="DI7" s="392"/>
      <c r="DJ7" s="392"/>
      <c r="DK7" s="392"/>
      <c r="DL7" s="392"/>
      <c r="DM7" s="392"/>
      <c r="DN7" s="392"/>
      <c r="DO7" s="392"/>
      <c r="DP7" s="392"/>
      <c r="DQ7" s="392"/>
      <c r="DR7" s="392"/>
      <c r="DS7" s="392"/>
      <c r="DT7" s="392"/>
      <c r="DU7" s="392"/>
      <c r="DV7" s="392"/>
      <c r="DW7" s="392"/>
      <c r="DX7" s="392"/>
      <c r="DY7" s="392"/>
      <c r="DZ7" s="392"/>
      <c r="EA7" s="392"/>
      <c r="EB7" s="392"/>
      <c r="EC7" s="392"/>
      <c r="ED7" s="392"/>
      <c r="EE7" s="392"/>
      <c r="EF7" s="392"/>
      <c r="EG7" s="392"/>
      <c r="EH7" s="392"/>
      <c r="EI7" s="392"/>
      <c r="EJ7" s="392"/>
      <c r="EK7" s="392"/>
      <c r="EL7" s="392"/>
      <c r="EM7" s="392"/>
      <c r="EN7" s="392"/>
      <c r="EO7" s="392"/>
      <c r="EP7" s="392"/>
      <c r="EQ7" s="392"/>
      <c r="ER7" s="392"/>
      <c r="ES7" s="392"/>
      <c r="ET7" s="392"/>
      <c r="EU7" s="392"/>
      <c r="EV7" s="392"/>
      <c r="EW7" s="392"/>
      <c r="EX7" s="392"/>
      <c r="EY7" s="392"/>
      <c r="EZ7" s="392"/>
      <c r="FA7" s="392"/>
      <c r="FB7" s="392"/>
      <c r="FC7" s="392"/>
      <c r="FD7" s="392"/>
      <c r="FE7" s="392"/>
      <c r="FF7" s="392"/>
      <c r="FG7" s="392"/>
      <c r="FH7" s="392"/>
      <c r="FI7" s="392"/>
      <c r="FJ7" s="392"/>
      <c r="FK7" s="392"/>
      <c r="FL7" s="392"/>
      <c r="FM7" s="392"/>
      <c r="FN7" s="392"/>
      <c r="FO7" s="392"/>
      <c r="FP7" s="392"/>
      <c r="FQ7" s="392"/>
      <c r="FR7" s="392"/>
      <c r="FS7" s="392"/>
      <c r="FT7" s="392"/>
      <c r="FU7" s="392"/>
      <c r="FV7" s="392"/>
      <c r="FW7" s="392"/>
      <c r="FX7" s="392"/>
      <c r="FY7" s="392"/>
      <c r="FZ7" s="392"/>
      <c r="GA7" s="392"/>
      <c r="GB7" s="392"/>
      <c r="GC7" s="392"/>
      <c r="GD7" s="392"/>
      <c r="GE7" s="392"/>
      <c r="GF7" s="392"/>
      <c r="GG7" s="392"/>
      <c r="GH7" s="392"/>
      <c r="GI7" s="392"/>
      <c r="GJ7" s="392"/>
      <c r="GK7" s="392"/>
      <c r="GL7" s="392"/>
      <c r="GM7" s="392"/>
      <c r="GN7" s="392"/>
      <c r="GO7" s="392"/>
    </row>
    <row r="8" spans="1:211" s="270" customFormat="1" ht="15">
      <c r="A8" s="411"/>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1"/>
      <c r="BH8" s="411"/>
      <c r="BI8" s="411"/>
      <c r="BJ8" s="411"/>
      <c r="BK8" s="411"/>
      <c r="BL8" s="411"/>
      <c r="BM8" s="411"/>
      <c r="BN8" s="411"/>
      <c r="BO8" s="411"/>
      <c r="BP8" s="411"/>
      <c r="BQ8" s="411"/>
      <c r="BR8" s="411"/>
      <c r="BS8" s="411"/>
      <c r="BT8" s="411"/>
      <c r="BU8" s="411"/>
      <c r="BV8" s="411"/>
      <c r="BW8" s="411"/>
      <c r="BX8" s="411"/>
      <c r="BY8" s="411"/>
      <c r="BZ8" s="411"/>
      <c r="CA8" s="411"/>
      <c r="CB8" s="411"/>
      <c r="CC8" s="411"/>
      <c r="CD8" s="411"/>
      <c r="CE8" s="411"/>
      <c r="CF8" s="411"/>
      <c r="CG8" s="411"/>
      <c r="CH8" s="411"/>
      <c r="CI8" s="411"/>
      <c r="CJ8" s="411"/>
      <c r="CK8" s="411"/>
      <c r="CL8" s="411"/>
      <c r="CM8" s="411"/>
      <c r="CN8" s="411"/>
      <c r="CO8" s="411"/>
      <c r="CP8" s="411"/>
      <c r="CQ8" s="411"/>
      <c r="CR8" s="411"/>
      <c r="CS8" s="411"/>
      <c r="CT8" s="411"/>
      <c r="CU8" s="411"/>
      <c r="CV8" s="411"/>
      <c r="CW8" s="411"/>
      <c r="CX8" s="411"/>
      <c r="CY8" s="411"/>
      <c r="CZ8" s="411"/>
      <c r="DA8" s="411"/>
      <c r="DB8" s="411"/>
      <c r="DC8" s="411"/>
      <c r="DD8" s="411"/>
      <c r="DE8" s="411"/>
      <c r="DF8" s="411"/>
      <c r="DG8" s="411"/>
      <c r="DH8" s="411"/>
      <c r="DI8" s="411"/>
      <c r="DJ8" s="411"/>
      <c r="DK8" s="411"/>
      <c r="DL8" s="411"/>
      <c r="DM8" s="411"/>
      <c r="DN8" s="411"/>
      <c r="DO8" s="411"/>
      <c r="DP8" s="411"/>
      <c r="DQ8" s="411"/>
      <c r="DR8" s="411"/>
      <c r="DS8" s="411"/>
      <c r="DT8" s="411"/>
      <c r="DU8" s="411"/>
      <c r="DV8" s="411"/>
      <c r="DW8" s="411"/>
      <c r="DX8" s="411"/>
      <c r="DY8" s="411"/>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c r="EX8" s="411"/>
      <c r="EY8" s="411"/>
      <c r="EZ8" s="411"/>
      <c r="FA8" s="411"/>
      <c r="FB8" s="411"/>
      <c r="FC8" s="411"/>
      <c r="FD8" s="411"/>
      <c r="FE8" s="411"/>
      <c r="FF8" s="411"/>
      <c r="FG8" s="411"/>
      <c r="FH8" s="411"/>
      <c r="FI8" s="411"/>
      <c r="FJ8" s="411"/>
      <c r="FK8" s="411"/>
      <c r="FL8" s="411"/>
      <c r="FM8" s="411"/>
      <c r="FN8" s="411"/>
      <c r="FO8" s="411"/>
      <c r="FP8" s="411"/>
      <c r="FQ8" s="411"/>
      <c r="FR8" s="411"/>
      <c r="FS8" s="411"/>
      <c r="FT8" s="411"/>
      <c r="FU8" s="411"/>
      <c r="FV8" s="411"/>
      <c r="FW8" s="411"/>
      <c r="FX8" s="411"/>
      <c r="FY8" s="411"/>
      <c r="FZ8" s="411"/>
      <c r="GA8" s="411"/>
      <c r="GB8" s="411"/>
      <c r="GC8" s="411"/>
      <c r="GD8" s="411"/>
      <c r="GE8" s="411"/>
      <c r="GF8" s="411"/>
      <c r="GG8" s="411"/>
      <c r="GH8" s="411"/>
      <c r="GI8" s="411"/>
      <c r="GJ8" s="411"/>
      <c r="GK8" s="411"/>
      <c r="GL8" s="411"/>
      <c r="GM8" s="411"/>
      <c r="GN8" s="411"/>
      <c r="GO8" s="411"/>
    </row>
    <row r="9" spans="1:211" ht="10.5" customHeight="1"/>
    <row r="10" spans="1:211" s="271" customFormat="1" ht="13.5" customHeight="1">
      <c r="A10" s="393" t="s">
        <v>286</v>
      </c>
      <c r="B10" s="393"/>
      <c r="C10" s="393"/>
      <c r="D10" s="393"/>
      <c r="E10" s="393"/>
      <c r="F10" s="393"/>
      <c r="G10" s="393" t="s">
        <v>287</v>
      </c>
      <c r="H10" s="393"/>
      <c r="I10" s="393"/>
      <c r="J10" s="393"/>
      <c r="K10" s="393"/>
      <c r="L10" s="393"/>
      <c r="M10" s="393"/>
      <c r="N10" s="393"/>
      <c r="O10" s="393"/>
      <c r="P10" s="393"/>
      <c r="Q10" s="393"/>
      <c r="R10" s="393"/>
      <c r="S10" s="393"/>
      <c r="T10" s="393"/>
      <c r="U10" s="393"/>
      <c r="V10" s="393"/>
      <c r="W10" s="393"/>
      <c r="X10" s="393"/>
      <c r="Y10" s="393" t="s">
        <v>288</v>
      </c>
      <c r="Z10" s="393"/>
      <c r="AA10" s="393"/>
      <c r="AB10" s="393"/>
      <c r="AC10" s="393"/>
      <c r="AD10" s="393"/>
      <c r="AE10" s="393"/>
      <c r="AF10" s="393"/>
      <c r="AG10" s="393"/>
      <c r="AH10" s="393"/>
      <c r="AI10" s="393"/>
      <c r="AJ10" s="393"/>
      <c r="AK10" s="393"/>
      <c r="AL10" s="393"/>
      <c r="AM10" s="393"/>
      <c r="AN10" s="393"/>
      <c r="AO10" s="393" t="s">
        <v>289</v>
      </c>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t="s">
        <v>290</v>
      </c>
      <c r="FK10" s="393"/>
      <c r="FL10" s="393"/>
      <c r="FM10" s="393"/>
      <c r="FN10" s="393"/>
      <c r="FO10" s="393"/>
      <c r="FP10" s="393"/>
      <c r="FQ10" s="393"/>
      <c r="FR10" s="393"/>
      <c r="FS10" s="393"/>
      <c r="FT10" s="393"/>
      <c r="FU10" s="393"/>
      <c r="FV10" s="393"/>
      <c r="FW10" s="393"/>
      <c r="FX10" s="393"/>
      <c r="FY10" s="393"/>
      <c r="FZ10" s="393" t="s">
        <v>291</v>
      </c>
      <c r="GA10" s="393"/>
      <c r="GB10" s="393"/>
      <c r="GC10" s="393"/>
      <c r="GD10" s="393"/>
      <c r="GE10" s="393"/>
      <c r="GF10" s="393"/>
      <c r="GG10" s="393"/>
      <c r="GH10" s="393"/>
      <c r="GI10" s="393"/>
      <c r="GJ10" s="393"/>
      <c r="GK10" s="393"/>
      <c r="GL10" s="393"/>
      <c r="GM10" s="393"/>
      <c r="GN10" s="393"/>
      <c r="GO10" s="393"/>
      <c r="GP10" s="393"/>
    </row>
    <row r="11" spans="1:211" s="271" customFormat="1" ht="13.5" customHeight="1">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t="s">
        <v>292</v>
      </c>
      <c r="AP11" s="393"/>
      <c r="AQ11" s="393"/>
      <c r="AR11" s="393"/>
      <c r="AS11" s="393"/>
      <c r="AT11" s="393"/>
      <c r="AU11" s="393"/>
      <c r="AV11" s="393"/>
      <c r="AW11" s="393"/>
      <c r="AX11" s="393"/>
      <c r="AY11" s="393"/>
      <c r="AZ11" s="393"/>
      <c r="BA11" s="393"/>
      <c r="BB11" s="393"/>
      <c r="BC11" s="393"/>
      <c r="BD11" s="393"/>
      <c r="BE11" s="393"/>
      <c r="BF11" s="393" t="s">
        <v>2</v>
      </c>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row>
    <row r="12" spans="1:211" s="271" customFormat="1" ht="39.75" customHeight="1">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t="s">
        <v>293</v>
      </c>
      <c r="BG12" s="393"/>
      <c r="BH12" s="393"/>
      <c r="BI12" s="393"/>
      <c r="BJ12" s="393"/>
      <c r="BK12" s="393"/>
      <c r="BL12" s="393"/>
      <c r="BM12" s="393"/>
      <c r="BN12" s="393"/>
      <c r="BO12" s="393"/>
      <c r="BP12" s="393"/>
      <c r="BQ12" s="393"/>
      <c r="BR12" s="393"/>
      <c r="BS12" s="393"/>
      <c r="BT12" s="393"/>
      <c r="BU12" s="393"/>
      <c r="BV12" s="393"/>
      <c r="BW12" s="393"/>
      <c r="BX12" s="393" t="s">
        <v>294</v>
      </c>
      <c r="BY12" s="393"/>
      <c r="BZ12" s="393"/>
      <c r="CA12" s="393"/>
      <c r="CB12" s="393"/>
      <c r="CC12" s="393"/>
      <c r="CD12" s="393"/>
      <c r="CE12" s="393"/>
      <c r="CF12" s="393"/>
      <c r="CG12" s="393"/>
      <c r="CH12" s="393"/>
      <c r="CI12" s="393"/>
      <c r="CJ12" s="393"/>
      <c r="CK12" s="393"/>
      <c r="CL12" s="393"/>
      <c r="CM12" s="393"/>
      <c r="CN12" s="393"/>
      <c r="CO12" s="393"/>
      <c r="CP12" s="393" t="s">
        <v>295</v>
      </c>
      <c r="CQ12" s="393"/>
      <c r="CR12" s="393"/>
      <c r="CS12" s="393"/>
      <c r="CT12" s="393"/>
      <c r="CU12" s="393"/>
      <c r="CV12" s="393"/>
      <c r="CW12" s="393"/>
      <c r="CX12" s="393"/>
      <c r="CY12" s="393"/>
      <c r="CZ12" s="393"/>
      <c r="DA12" s="393"/>
      <c r="DB12" s="393"/>
      <c r="DC12" s="393"/>
      <c r="DD12" s="393"/>
      <c r="DE12" s="393"/>
      <c r="DF12" s="393"/>
      <c r="DG12" s="393"/>
      <c r="DH12" s="393" t="s">
        <v>296</v>
      </c>
      <c r="DI12" s="393"/>
      <c r="DJ12" s="393"/>
      <c r="DK12" s="393"/>
      <c r="DL12" s="393"/>
      <c r="DM12" s="393"/>
      <c r="DN12" s="393"/>
      <c r="DO12" s="393"/>
      <c r="DP12" s="393"/>
      <c r="DQ12" s="393"/>
      <c r="DR12" s="393"/>
      <c r="DS12" s="393"/>
      <c r="DT12" s="393"/>
      <c r="DU12" s="393"/>
      <c r="DV12" s="393"/>
      <c r="DW12" s="393"/>
      <c r="DX12" s="393"/>
      <c r="DY12" s="393"/>
      <c r="DZ12" s="393" t="s">
        <v>297</v>
      </c>
      <c r="EA12" s="393"/>
      <c r="EB12" s="393"/>
      <c r="EC12" s="393"/>
      <c r="ED12" s="393"/>
      <c r="EE12" s="393"/>
      <c r="EF12" s="393"/>
      <c r="EG12" s="393"/>
      <c r="EH12" s="393"/>
      <c r="EI12" s="393"/>
      <c r="EJ12" s="393"/>
      <c r="EK12" s="393"/>
      <c r="EL12" s="393"/>
      <c r="EM12" s="393"/>
      <c r="EN12" s="393"/>
      <c r="EO12" s="393"/>
      <c r="EP12" s="393"/>
      <c r="EQ12" s="393"/>
      <c r="ER12" s="393" t="s">
        <v>298</v>
      </c>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272"/>
      <c r="GR12" s="273">
        <v>44257</v>
      </c>
    </row>
    <row r="13" spans="1:211" s="274" customFormat="1">
      <c r="A13" s="371">
        <v>1</v>
      </c>
      <c r="B13" s="371"/>
      <c r="C13" s="371"/>
      <c r="D13" s="371"/>
      <c r="E13" s="371"/>
      <c r="F13" s="371"/>
      <c r="G13" s="371">
        <v>2</v>
      </c>
      <c r="H13" s="371"/>
      <c r="I13" s="371"/>
      <c r="J13" s="371"/>
      <c r="K13" s="371"/>
      <c r="L13" s="371"/>
      <c r="M13" s="371"/>
      <c r="N13" s="371"/>
      <c r="O13" s="371"/>
      <c r="P13" s="371"/>
      <c r="Q13" s="371"/>
      <c r="R13" s="371"/>
      <c r="S13" s="371"/>
      <c r="T13" s="371"/>
      <c r="U13" s="371"/>
      <c r="V13" s="371"/>
      <c r="W13" s="371"/>
      <c r="X13" s="371"/>
      <c r="Y13" s="371">
        <v>3</v>
      </c>
      <c r="Z13" s="371"/>
      <c r="AA13" s="371"/>
      <c r="AB13" s="371"/>
      <c r="AC13" s="371"/>
      <c r="AD13" s="371"/>
      <c r="AE13" s="371"/>
      <c r="AF13" s="371"/>
      <c r="AG13" s="371"/>
      <c r="AH13" s="371"/>
      <c r="AI13" s="371"/>
      <c r="AJ13" s="371"/>
      <c r="AK13" s="371"/>
      <c r="AL13" s="371"/>
      <c r="AM13" s="371"/>
      <c r="AN13" s="371"/>
      <c r="AO13" s="371">
        <v>4</v>
      </c>
      <c r="AP13" s="371"/>
      <c r="AQ13" s="371"/>
      <c r="AR13" s="371"/>
      <c r="AS13" s="371"/>
      <c r="AT13" s="371"/>
      <c r="AU13" s="371"/>
      <c r="AV13" s="371"/>
      <c r="AW13" s="371"/>
      <c r="AX13" s="371"/>
      <c r="AY13" s="371"/>
      <c r="AZ13" s="371"/>
      <c r="BA13" s="371"/>
      <c r="BB13" s="371"/>
      <c r="BC13" s="371"/>
      <c r="BD13" s="371"/>
      <c r="BE13" s="371"/>
      <c r="BF13" s="371">
        <v>5</v>
      </c>
      <c r="BG13" s="371"/>
      <c r="BH13" s="371"/>
      <c r="BI13" s="371"/>
      <c r="BJ13" s="371"/>
      <c r="BK13" s="371"/>
      <c r="BL13" s="371"/>
      <c r="BM13" s="371"/>
      <c r="BN13" s="371"/>
      <c r="BO13" s="371"/>
      <c r="BP13" s="371"/>
      <c r="BQ13" s="371"/>
      <c r="BR13" s="371"/>
      <c r="BS13" s="371"/>
      <c r="BT13" s="371"/>
      <c r="BU13" s="371"/>
      <c r="BV13" s="371"/>
      <c r="BW13" s="371"/>
      <c r="BX13" s="371">
        <v>6</v>
      </c>
      <c r="BY13" s="371"/>
      <c r="BZ13" s="371"/>
      <c r="CA13" s="371"/>
      <c r="CB13" s="371"/>
      <c r="CC13" s="371"/>
      <c r="CD13" s="371"/>
      <c r="CE13" s="371"/>
      <c r="CF13" s="371"/>
      <c r="CG13" s="371"/>
      <c r="CH13" s="371"/>
      <c r="CI13" s="371"/>
      <c r="CJ13" s="371"/>
      <c r="CK13" s="371"/>
      <c r="CL13" s="371"/>
      <c r="CM13" s="371"/>
      <c r="CN13" s="371"/>
      <c r="CO13" s="371"/>
      <c r="CP13" s="371">
        <v>7</v>
      </c>
      <c r="CQ13" s="371"/>
      <c r="CR13" s="371"/>
      <c r="CS13" s="371"/>
      <c r="CT13" s="371"/>
      <c r="CU13" s="371"/>
      <c r="CV13" s="371"/>
      <c r="CW13" s="371"/>
      <c r="CX13" s="371"/>
      <c r="CY13" s="371"/>
      <c r="CZ13" s="371"/>
      <c r="DA13" s="371"/>
      <c r="DB13" s="371"/>
      <c r="DC13" s="371"/>
      <c r="DD13" s="371"/>
      <c r="DE13" s="371"/>
      <c r="DF13" s="371"/>
      <c r="DG13" s="371"/>
      <c r="DH13" s="371">
        <v>8</v>
      </c>
      <c r="DI13" s="371"/>
      <c r="DJ13" s="371"/>
      <c r="DK13" s="371"/>
      <c r="DL13" s="371"/>
      <c r="DM13" s="371"/>
      <c r="DN13" s="371"/>
      <c r="DO13" s="371"/>
      <c r="DP13" s="371"/>
      <c r="DQ13" s="371"/>
      <c r="DR13" s="371"/>
      <c r="DS13" s="371"/>
      <c r="DT13" s="371"/>
      <c r="DU13" s="371"/>
      <c r="DV13" s="371"/>
      <c r="DW13" s="371"/>
      <c r="DX13" s="371"/>
      <c r="DY13" s="371"/>
      <c r="DZ13" s="371">
        <v>10</v>
      </c>
      <c r="EA13" s="371"/>
      <c r="EB13" s="371"/>
      <c r="EC13" s="371"/>
      <c r="ED13" s="371"/>
      <c r="EE13" s="371"/>
      <c r="EF13" s="371"/>
      <c r="EG13" s="371"/>
      <c r="EH13" s="371"/>
      <c r="EI13" s="371"/>
      <c r="EJ13" s="371"/>
      <c r="EK13" s="371"/>
      <c r="EL13" s="371"/>
      <c r="EM13" s="371"/>
      <c r="EN13" s="371"/>
      <c r="EO13" s="371"/>
      <c r="EP13" s="371"/>
      <c r="EQ13" s="371"/>
      <c r="ER13" s="371">
        <v>11</v>
      </c>
      <c r="ES13" s="371"/>
      <c r="ET13" s="371"/>
      <c r="EU13" s="371"/>
      <c r="EV13" s="371"/>
      <c r="EW13" s="371"/>
      <c r="EX13" s="371"/>
      <c r="EY13" s="371"/>
      <c r="EZ13" s="371"/>
      <c r="FA13" s="371"/>
      <c r="FB13" s="371"/>
      <c r="FC13" s="371"/>
      <c r="FD13" s="371"/>
      <c r="FE13" s="371"/>
      <c r="FF13" s="371"/>
      <c r="FG13" s="371"/>
      <c r="FH13" s="371"/>
      <c r="FI13" s="371"/>
      <c r="FJ13" s="371">
        <v>12</v>
      </c>
      <c r="FK13" s="371"/>
      <c r="FL13" s="371"/>
      <c r="FM13" s="371"/>
      <c r="FN13" s="371"/>
      <c r="FO13" s="371"/>
      <c r="FP13" s="371"/>
      <c r="FQ13" s="371"/>
      <c r="FR13" s="371"/>
      <c r="FS13" s="371"/>
      <c r="FT13" s="371"/>
      <c r="FU13" s="371"/>
      <c r="FV13" s="371"/>
      <c r="FW13" s="371"/>
      <c r="FX13" s="371"/>
      <c r="FY13" s="371"/>
      <c r="FZ13" s="371">
        <v>13</v>
      </c>
      <c r="GA13" s="371"/>
      <c r="GB13" s="371"/>
      <c r="GC13" s="371"/>
      <c r="GD13" s="371"/>
      <c r="GE13" s="371"/>
      <c r="GF13" s="371"/>
      <c r="GG13" s="371"/>
      <c r="GH13" s="371"/>
      <c r="GI13" s="371"/>
      <c r="GJ13" s="371"/>
      <c r="GK13" s="371"/>
      <c r="GL13" s="371"/>
      <c r="GM13" s="371"/>
      <c r="GN13" s="371"/>
      <c r="GO13" s="371"/>
      <c r="GP13" s="371"/>
    </row>
    <row r="14" spans="1:211" s="274" customFormat="1" ht="54" customHeight="1">
      <c r="A14" s="385" t="s">
        <v>299</v>
      </c>
      <c r="B14" s="385"/>
      <c r="C14" s="385"/>
      <c r="D14" s="385"/>
      <c r="E14" s="385"/>
      <c r="F14" s="385"/>
      <c r="G14" s="407" t="s">
        <v>300</v>
      </c>
      <c r="H14" s="407"/>
      <c r="I14" s="407"/>
      <c r="J14" s="407"/>
      <c r="K14" s="407"/>
      <c r="L14" s="407"/>
      <c r="M14" s="407"/>
      <c r="N14" s="407"/>
      <c r="O14" s="407"/>
      <c r="P14" s="407"/>
      <c r="Q14" s="407"/>
      <c r="R14" s="407"/>
      <c r="S14" s="407"/>
      <c r="T14" s="407"/>
      <c r="U14" s="407"/>
      <c r="V14" s="407"/>
      <c r="W14" s="407"/>
      <c r="X14" s="407"/>
      <c r="Y14" s="408">
        <v>1</v>
      </c>
      <c r="Z14" s="408"/>
      <c r="AA14" s="408"/>
      <c r="AB14" s="408"/>
      <c r="AC14" s="408"/>
      <c r="AD14" s="408"/>
      <c r="AE14" s="408"/>
      <c r="AF14" s="408"/>
      <c r="AG14" s="408"/>
      <c r="AH14" s="408"/>
      <c r="AI14" s="408"/>
      <c r="AJ14" s="408"/>
      <c r="AK14" s="408"/>
      <c r="AL14" s="408"/>
      <c r="AM14" s="408"/>
      <c r="AN14" s="408"/>
      <c r="AO14" s="397">
        <f>BF14+BX14+CP14+ER14+DZ14</f>
        <v>67581.820000000007</v>
      </c>
      <c r="AP14" s="397"/>
      <c r="AQ14" s="397"/>
      <c r="AR14" s="397"/>
      <c r="AS14" s="397"/>
      <c r="AT14" s="397"/>
      <c r="AU14" s="397"/>
      <c r="AV14" s="397"/>
      <c r="AW14" s="397"/>
      <c r="AX14" s="397"/>
      <c r="AY14" s="397"/>
      <c r="AZ14" s="397"/>
      <c r="BA14" s="397"/>
      <c r="BB14" s="397"/>
      <c r="BC14" s="397"/>
      <c r="BD14" s="397"/>
      <c r="BE14" s="397"/>
      <c r="BF14" s="397">
        <v>20608</v>
      </c>
      <c r="BG14" s="397"/>
      <c r="BH14" s="397"/>
      <c r="BI14" s="397"/>
      <c r="BJ14" s="397"/>
      <c r="BK14" s="397"/>
      <c r="BL14" s="397"/>
      <c r="BM14" s="397"/>
      <c r="BN14" s="397"/>
      <c r="BO14" s="397"/>
      <c r="BP14" s="397"/>
      <c r="BQ14" s="397"/>
      <c r="BR14" s="397"/>
      <c r="BS14" s="397"/>
      <c r="BT14" s="397"/>
      <c r="BU14" s="397"/>
      <c r="BV14" s="397"/>
      <c r="BW14" s="397"/>
      <c r="BX14" s="397">
        <f>BF14*25%</f>
        <v>5152</v>
      </c>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c r="DF14" s="397"/>
      <c r="DG14" s="397"/>
      <c r="DH14" s="397"/>
      <c r="DI14" s="397"/>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f>30978.79+10843.03</f>
        <v>41821.82</v>
      </c>
      <c r="ES14" s="397"/>
      <c r="ET14" s="397"/>
      <c r="EU14" s="397"/>
      <c r="EV14" s="397"/>
      <c r="EW14" s="397"/>
      <c r="EX14" s="397"/>
      <c r="EY14" s="397"/>
      <c r="EZ14" s="397"/>
      <c r="FA14" s="397"/>
      <c r="FB14" s="397"/>
      <c r="FC14" s="397"/>
      <c r="FD14" s="397"/>
      <c r="FE14" s="397"/>
      <c r="FF14" s="397"/>
      <c r="FG14" s="397"/>
      <c r="FH14" s="397"/>
      <c r="FI14" s="397"/>
      <c r="FJ14" s="397">
        <f t="shared" ref="FJ14:FJ19" si="0">AO14*2.3-AO14</f>
        <v>87856.366000000009</v>
      </c>
      <c r="FK14" s="397"/>
      <c r="FL14" s="397"/>
      <c r="FM14" s="397"/>
      <c r="FN14" s="397"/>
      <c r="FO14" s="397"/>
      <c r="FP14" s="397"/>
      <c r="FQ14" s="397"/>
      <c r="FR14" s="397"/>
      <c r="FS14" s="397"/>
      <c r="FT14" s="397"/>
      <c r="FU14" s="397"/>
      <c r="FV14" s="397"/>
      <c r="FW14" s="397"/>
      <c r="FX14" s="397"/>
      <c r="FY14" s="397"/>
      <c r="FZ14" s="398">
        <f>((AO14+FJ14)*12)</f>
        <v>1865258.2320000003</v>
      </c>
      <c r="GA14" s="398"/>
      <c r="GB14" s="398"/>
      <c r="GC14" s="398"/>
      <c r="GD14" s="398"/>
      <c r="GE14" s="398"/>
      <c r="GF14" s="398"/>
      <c r="GG14" s="398"/>
      <c r="GH14" s="398"/>
      <c r="GI14" s="398"/>
      <c r="GJ14" s="398"/>
      <c r="GK14" s="398"/>
      <c r="GL14" s="398"/>
      <c r="GM14" s="398"/>
      <c r="GN14" s="398"/>
      <c r="GO14" s="398"/>
      <c r="GP14" s="398"/>
      <c r="GQ14" s="300">
        <v>1865258.16</v>
      </c>
      <c r="GR14" s="275">
        <f>FZ14-GQ14</f>
        <v>7.2000000393018126E-2</v>
      </c>
      <c r="GS14" s="275">
        <f>GR14/12</f>
        <v>6.0000000327515108E-3</v>
      </c>
      <c r="GT14" s="275">
        <f>GS14/2.3</f>
        <v>2.6086956664137005E-3</v>
      </c>
      <c r="GU14" s="275"/>
      <c r="GV14" s="275"/>
      <c r="GW14" s="399"/>
      <c r="GX14" s="401"/>
      <c r="GY14" s="399">
        <f>1224021.94</f>
        <v>1224021.94</v>
      </c>
      <c r="GZ14" s="400"/>
      <c r="HA14" s="401"/>
      <c r="HB14" s="275"/>
      <c r="HC14" s="275"/>
    </row>
    <row r="15" spans="1:211" s="274" customFormat="1" ht="54" customHeight="1">
      <c r="A15" s="385" t="s">
        <v>301</v>
      </c>
      <c r="B15" s="385"/>
      <c r="C15" s="385"/>
      <c r="D15" s="385"/>
      <c r="E15" s="385"/>
      <c r="F15" s="385"/>
      <c r="G15" s="407" t="s">
        <v>302</v>
      </c>
      <c r="H15" s="407"/>
      <c r="I15" s="407"/>
      <c r="J15" s="407"/>
      <c r="K15" s="407"/>
      <c r="L15" s="407"/>
      <c r="M15" s="407"/>
      <c r="N15" s="407"/>
      <c r="O15" s="407"/>
      <c r="P15" s="407"/>
      <c r="Q15" s="407"/>
      <c r="R15" s="407"/>
      <c r="S15" s="407"/>
      <c r="T15" s="407"/>
      <c r="U15" s="407"/>
      <c r="V15" s="407"/>
      <c r="W15" s="407"/>
      <c r="X15" s="407"/>
      <c r="Y15" s="408">
        <v>1.5</v>
      </c>
      <c r="Z15" s="408"/>
      <c r="AA15" s="408"/>
      <c r="AB15" s="408"/>
      <c r="AC15" s="408"/>
      <c r="AD15" s="408"/>
      <c r="AE15" s="408"/>
      <c r="AF15" s="408"/>
      <c r="AG15" s="408"/>
      <c r="AH15" s="408"/>
      <c r="AI15" s="408"/>
      <c r="AJ15" s="408"/>
      <c r="AK15" s="408"/>
      <c r="AL15" s="408"/>
      <c r="AM15" s="408"/>
      <c r="AN15" s="408"/>
      <c r="AO15" s="397">
        <f>BF15+BX15+CP15+ER15+DZ15</f>
        <v>49897.82</v>
      </c>
      <c r="AP15" s="397"/>
      <c r="AQ15" s="397"/>
      <c r="AR15" s="397"/>
      <c r="AS15" s="397"/>
      <c r="AT15" s="397"/>
      <c r="AU15" s="397"/>
      <c r="AV15" s="397"/>
      <c r="AW15" s="397"/>
      <c r="AX15" s="397"/>
      <c r="AY15" s="397"/>
      <c r="AZ15" s="397"/>
      <c r="BA15" s="397"/>
      <c r="BB15" s="397"/>
      <c r="BC15" s="397"/>
      <c r="BD15" s="397"/>
      <c r="BE15" s="397"/>
      <c r="BF15" s="397">
        <v>7668</v>
      </c>
      <c r="BG15" s="397"/>
      <c r="BH15" s="397"/>
      <c r="BI15" s="397"/>
      <c r="BJ15" s="397"/>
      <c r="BK15" s="397"/>
      <c r="BL15" s="397"/>
      <c r="BM15" s="397"/>
      <c r="BN15" s="397"/>
      <c r="BO15" s="397"/>
      <c r="BP15" s="397"/>
      <c r="BQ15" s="397"/>
      <c r="BR15" s="397"/>
      <c r="BS15" s="397"/>
      <c r="BT15" s="397"/>
      <c r="BU15" s="397"/>
      <c r="BV15" s="397"/>
      <c r="BW15" s="397"/>
      <c r="BX15" s="397">
        <f>BF15*25%</f>
        <v>1917</v>
      </c>
      <c r="BY15" s="397"/>
      <c r="BZ15" s="397"/>
      <c r="CA15" s="397"/>
      <c r="CB15" s="397"/>
      <c r="CC15" s="397"/>
      <c r="CD15" s="397"/>
      <c r="CE15" s="397"/>
      <c r="CF15" s="397"/>
      <c r="CG15" s="397"/>
      <c r="CH15" s="397"/>
      <c r="CI15" s="397"/>
      <c r="CJ15" s="397"/>
      <c r="CK15" s="397"/>
      <c r="CL15" s="397"/>
      <c r="CM15" s="397"/>
      <c r="CN15" s="397"/>
      <c r="CO15" s="397"/>
      <c r="CP15" s="397">
        <v>0</v>
      </c>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f>31212.74+9100.08</f>
        <v>40312.82</v>
      </c>
      <c r="ES15" s="397"/>
      <c r="ET15" s="397"/>
      <c r="EU15" s="397"/>
      <c r="EV15" s="397"/>
      <c r="EW15" s="397"/>
      <c r="EX15" s="397"/>
      <c r="EY15" s="397"/>
      <c r="EZ15" s="397"/>
      <c r="FA15" s="397"/>
      <c r="FB15" s="397"/>
      <c r="FC15" s="397"/>
      <c r="FD15" s="397"/>
      <c r="FE15" s="397"/>
      <c r="FF15" s="397"/>
      <c r="FG15" s="397"/>
      <c r="FH15" s="397"/>
      <c r="FI15" s="397"/>
      <c r="FJ15" s="397">
        <f t="shared" si="0"/>
        <v>64867.16599999999</v>
      </c>
      <c r="FK15" s="397"/>
      <c r="FL15" s="397"/>
      <c r="FM15" s="397"/>
      <c r="FN15" s="397"/>
      <c r="FO15" s="397"/>
      <c r="FP15" s="397"/>
      <c r="FQ15" s="397"/>
      <c r="FR15" s="397"/>
      <c r="FS15" s="397"/>
      <c r="FT15" s="397"/>
      <c r="FU15" s="397"/>
      <c r="FV15" s="397"/>
      <c r="FW15" s="397"/>
      <c r="FX15" s="397"/>
      <c r="FY15" s="397"/>
      <c r="FZ15" s="398">
        <f>(((AO15+FJ15))*12)+0.25</f>
        <v>1377180.0819999999</v>
      </c>
      <c r="GA15" s="398"/>
      <c r="GB15" s="398"/>
      <c r="GC15" s="398"/>
      <c r="GD15" s="398"/>
      <c r="GE15" s="398"/>
      <c r="GF15" s="398"/>
      <c r="GG15" s="398"/>
      <c r="GH15" s="398"/>
      <c r="GI15" s="398"/>
      <c r="GJ15" s="398"/>
      <c r="GK15" s="398"/>
      <c r="GL15" s="398"/>
      <c r="GM15" s="398"/>
      <c r="GN15" s="398"/>
      <c r="GO15" s="398"/>
      <c r="GP15" s="398"/>
      <c r="GQ15" s="300">
        <v>1377180</v>
      </c>
      <c r="GR15" s="275">
        <f>GQ15-FZ15</f>
        <v>-8.1999999936670065E-2</v>
      </c>
      <c r="GS15" s="275">
        <f>GR15/12</f>
        <v>-6.833333328055839E-3</v>
      </c>
      <c r="GT15" s="275">
        <f>GS15/2.3</f>
        <v>-2.9710144904590606E-3</v>
      </c>
      <c r="GU15" s="275"/>
      <c r="GV15" s="275"/>
      <c r="GW15" s="399"/>
      <c r="GX15" s="401"/>
      <c r="GY15" s="399">
        <f>41757300.93+175000+200000</f>
        <v>42132300.93</v>
      </c>
      <c r="GZ15" s="400"/>
      <c r="HA15" s="401"/>
      <c r="HB15" s="275"/>
      <c r="HC15" s="275"/>
    </row>
    <row r="16" spans="1:211" s="274" customFormat="1" ht="54" customHeight="1">
      <c r="A16" s="385" t="s">
        <v>303</v>
      </c>
      <c r="B16" s="385"/>
      <c r="C16" s="385"/>
      <c r="D16" s="385"/>
      <c r="E16" s="385"/>
      <c r="F16" s="385"/>
      <c r="G16" s="407" t="s">
        <v>304</v>
      </c>
      <c r="H16" s="407"/>
      <c r="I16" s="407"/>
      <c r="J16" s="407"/>
      <c r="K16" s="407"/>
      <c r="L16" s="407"/>
      <c r="M16" s="407"/>
      <c r="N16" s="407"/>
      <c r="O16" s="407"/>
      <c r="P16" s="407"/>
      <c r="Q16" s="407"/>
      <c r="R16" s="407"/>
      <c r="S16" s="407"/>
      <c r="T16" s="407"/>
      <c r="U16" s="407"/>
      <c r="V16" s="407"/>
      <c r="W16" s="407"/>
      <c r="X16" s="407"/>
      <c r="Y16" s="408">
        <v>2.5</v>
      </c>
      <c r="Z16" s="408"/>
      <c r="AA16" s="408"/>
      <c r="AB16" s="408"/>
      <c r="AC16" s="408"/>
      <c r="AD16" s="408"/>
      <c r="AE16" s="408"/>
      <c r="AF16" s="408"/>
      <c r="AG16" s="408"/>
      <c r="AH16" s="408"/>
      <c r="AI16" s="408"/>
      <c r="AJ16" s="408"/>
      <c r="AK16" s="408"/>
      <c r="AL16" s="408"/>
      <c r="AM16" s="408"/>
      <c r="AN16" s="408"/>
      <c r="AO16" s="397">
        <f>BF16+BX16+CP16+ER16+DZ16</f>
        <v>48105.427142857145</v>
      </c>
      <c r="AP16" s="397"/>
      <c r="AQ16" s="397"/>
      <c r="AR16" s="397"/>
      <c r="AS16" s="397"/>
      <c r="AT16" s="397"/>
      <c r="AU16" s="397"/>
      <c r="AV16" s="397"/>
      <c r="AW16" s="397"/>
      <c r="AX16" s="397"/>
      <c r="AY16" s="397"/>
      <c r="AZ16" s="397"/>
      <c r="BA16" s="397"/>
      <c r="BB16" s="397"/>
      <c r="BC16" s="397"/>
      <c r="BD16" s="397"/>
      <c r="BE16" s="397"/>
      <c r="BF16" s="397">
        <f>2571.5+5785+6427</f>
        <v>14783.5</v>
      </c>
      <c r="BG16" s="397"/>
      <c r="BH16" s="397"/>
      <c r="BI16" s="397"/>
      <c r="BJ16" s="397"/>
      <c r="BK16" s="397"/>
      <c r="BL16" s="397"/>
      <c r="BM16" s="397"/>
      <c r="BN16" s="397"/>
      <c r="BO16" s="397"/>
      <c r="BP16" s="397"/>
      <c r="BQ16" s="397"/>
      <c r="BR16" s="397"/>
      <c r="BS16" s="397"/>
      <c r="BT16" s="397"/>
      <c r="BU16" s="397"/>
      <c r="BV16" s="397"/>
      <c r="BW16" s="397"/>
      <c r="BX16" s="397">
        <f>BF16*25%</f>
        <v>3695.875</v>
      </c>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c r="DF16" s="397"/>
      <c r="DG16" s="397"/>
      <c r="DH16" s="397">
        <v>257.08</v>
      </c>
      <c r="DI16" s="397"/>
      <c r="DJ16" s="397"/>
      <c r="DK16" s="397"/>
      <c r="DL16" s="397"/>
      <c r="DM16" s="397"/>
      <c r="DN16" s="397"/>
      <c r="DO16" s="397"/>
      <c r="DP16" s="397"/>
      <c r="DQ16" s="397"/>
      <c r="DR16" s="397"/>
      <c r="DS16" s="397"/>
      <c r="DT16" s="397"/>
      <c r="DU16" s="397"/>
      <c r="DV16" s="397"/>
      <c r="DW16" s="397"/>
      <c r="DX16" s="397"/>
      <c r="DY16" s="397"/>
      <c r="DZ16" s="397">
        <v>17418.39</v>
      </c>
      <c r="EA16" s="397"/>
      <c r="EB16" s="397"/>
      <c r="EC16" s="397"/>
      <c r="ED16" s="397"/>
      <c r="EE16" s="397"/>
      <c r="EF16" s="397"/>
      <c r="EG16" s="397"/>
      <c r="EH16" s="397"/>
      <c r="EI16" s="397"/>
      <c r="EJ16" s="397"/>
      <c r="EK16" s="397"/>
      <c r="EL16" s="397"/>
      <c r="EM16" s="397"/>
      <c r="EN16" s="397"/>
      <c r="EO16" s="397"/>
      <c r="EP16" s="397"/>
      <c r="EQ16" s="397"/>
      <c r="ER16" s="397">
        <f>(BF16+BX16+CP16)*30%/70%+4287.93</f>
        <v>12207.662142857143</v>
      </c>
      <c r="ES16" s="397"/>
      <c r="ET16" s="397"/>
      <c r="EU16" s="397"/>
      <c r="EV16" s="397"/>
      <c r="EW16" s="397"/>
      <c r="EX16" s="397"/>
      <c r="EY16" s="397"/>
      <c r="EZ16" s="397"/>
      <c r="FA16" s="397"/>
      <c r="FB16" s="397"/>
      <c r="FC16" s="397"/>
      <c r="FD16" s="397"/>
      <c r="FE16" s="397"/>
      <c r="FF16" s="397"/>
      <c r="FG16" s="397"/>
      <c r="FH16" s="397"/>
      <c r="FI16" s="397"/>
      <c r="FJ16" s="397">
        <f t="shared" si="0"/>
        <v>62537.055285714283</v>
      </c>
      <c r="FK16" s="397"/>
      <c r="FL16" s="397"/>
      <c r="FM16" s="397"/>
      <c r="FN16" s="397"/>
      <c r="FO16" s="397"/>
      <c r="FP16" s="397"/>
      <c r="FQ16" s="397"/>
      <c r="FR16" s="397"/>
      <c r="FS16" s="397"/>
      <c r="FT16" s="397"/>
      <c r="FU16" s="397"/>
      <c r="FV16" s="397"/>
      <c r="FW16" s="397"/>
      <c r="FX16" s="397"/>
      <c r="FY16" s="397"/>
      <c r="FZ16" s="398">
        <f>((AO16+FJ16)*12)+0.08</f>
        <v>1327709.8691428571</v>
      </c>
      <c r="GA16" s="398"/>
      <c r="GB16" s="398"/>
      <c r="GC16" s="398"/>
      <c r="GD16" s="398"/>
      <c r="GE16" s="398"/>
      <c r="GF16" s="398"/>
      <c r="GG16" s="398"/>
      <c r="GH16" s="398"/>
      <c r="GI16" s="398"/>
      <c r="GJ16" s="398"/>
      <c r="GK16" s="398"/>
      <c r="GL16" s="398"/>
      <c r="GM16" s="398"/>
      <c r="GN16" s="398"/>
      <c r="GO16" s="398"/>
      <c r="GP16" s="398"/>
      <c r="GQ16" s="300">
        <f>(GR12*2.5)*12</f>
        <v>1327710</v>
      </c>
      <c r="GR16" s="275">
        <f t="shared" ref="GR16:GR25" si="1">GQ16-FZ16</f>
        <v>0.13085714285261929</v>
      </c>
      <c r="GS16" s="275">
        <f t="shared" ref="GS16:GS25" si="2">GR16/12</f>
        <v>1.0904761904384941E-2</v>
      </c>
      <c r="GT16" s="275">
        <f t="shared" ref="GT16:GT25" si="3">GS16/2.3</f>
        <v>4.7412008279934525E-3</v>
      </c>
      <c r="GU16" s="275"/>
      <c r="GV16" s="275"/>
      <c r="GW16" s="399"/>
      <c r="GX16" s="401"/>
      <c r="GY16" s="399">
        <f>87182.91+880.64+2061680.29+20825.05</f>
        <v>2170568.8899999997</v>
      </c>
      <c r="GZ16" s="400"/>
      <c r="HA16" s="401"/>
      <c r="HB16" s="275"/>
      <c r="HC16" s="275"/>
    </row>
    <row r="17" spans="1:211" s="274" customFormat="1" ht="54" customHeight="1">
      <c r="A17" s="385" t="s">
        <v>305</v>
      </c>
      <c r="B17" s="385"/>
      <c r="C17" s="385"/>
      <c r="D17" s="385"/>
      <c r="E17" s="385"/>
      <c r="F17" s="385"/>
      <c r="G17" s="407" t="s">
        <v>306</v>
      </c>
      <c r="H17" s="407"/>
      <c r="I17" s="407"/>
      <c r="J17" s="407"/>
      <c r="K17" s="407"/>
      <c r="L17" s="407"/>
      <c r="M17" s="407"/>
      <c r="N17" s="407"/>
      <c r="O17" s="407"/>
      <c r="P17" s="407"/>
      <c r="Q17" s="407"/>
      <c r="R17" s="407"/>
      <c r="S17" s="407"/>
      <c r="T17" s="407"/>
      <c r="U17" s="407"/>
      <c r="V17" s="407"/>
      <c r="W17" s="407"/>
      <c r="X17" s="407"/>
      <c r="Y17" s="408">
        <v>6.5</v>
      </c>
      <c r="Z17" s="408"/>
      <c r="AA17" s="408"/>
      <c r="AB17" s="408"/>
      <c r="AC17" s="408"/>
      <c r="AD17" s="408"/>
      <c r="AE17" s="408"/>
      <c r="AF17" s="408"/>
      <c r="AG17" s="408"/>
      <c r="AH17" s="408"/>
      <c r="AI17" s="408"/>
      <c r="AJ17" s="408"/>
      <c r="AK17" s="408"/>
      <c r="AL17" s="408"/>
      <c r="AM17" s="408"/>
      <c r="AN17" s="408"/>
      <c r="AO17" s="397">
        <f>BF17+BX17+CP17+ER17+DZ17</f>
        <v>125074.12714285713</v>
      </c>
      <c r="AP17" s="397"/>
      <c r="AQ17" s="397"/>
      <c r="AR17" s="397"/>
      <c r="AS17" s="397"/>
      <c r="AT17" s="397"/>
      <c r="AU17" s="397"/>
      <c r="AV17" s="397"/>
      <c r="AW17" s="397"/>
      <c r="AX17" s="397"/>
      <c r="AY17" s="397"/>
      <c r="AZ17" s="397"/>
      <c r="BA17" s="397"/>
      <c r="BB17" s="397"/>
      <c r="BC17" s="397"/>
      <c r="BD17" s="397"/>
      <c r="BE17" s="397"/>
      <c r="BF17" s="397">
        <v>25590.5</v>
      </c>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c r="DF17" s="397"/>
      <c r="DG17" s="397"/>
      <c r="DH17" s="397"/>
      <c r="DI17" s="397"/>
      <c r="DJ17" s="397"/>
      <c r="DK17" s="397"/>
      <c r="DL17" s="397"/>
      <c r="DM17" s="397"/>
      <c r="DN17" s="397"/>
      <c r="DO17" s="397"/>
      <c r="DP17" s="397"/>
      <c r="DQ17" s="397"/>
      <c r="DR17" s="397"/>
      <c r="DS17" s="397"/>
      <c r="DT17" s="397"/>
      <c r="DU17" s="397"/>
      <c r="DV17" s="397"/>
      <c r="DW17" s="397"/>
      <c r="DX17" s="397"/>
      <c r="DY17" s="397"/>
      <c r="DZ17" s="397">
        <v>73469.429999999993</v>
      </c>
      <c r="EA17" s="397"/>
      <c r="EB17" s="397"/>
      <c r="EC17" s="397"/>
      <c r="ED17" s="397"/>
      <c r="EE17" s="397"/>
      <c r="EF17" s="397"/>
      <c r="EG17" s="397"/>
      <c r="EH17" s="397"/>
      <c r="EI17" s="397"/>
      <c r="EJ17" s="397"/>
      <c r="EK17" s="397"/>
      <c r="EL17" s="397"/>
      <c r="EM17" s="397"/>
      <c r="EN17" s="397"/>
      <c r="EO17" s="397"/>
      <c r="EP17" s="397"/>
      <c r="EQ17" s="397"/>
      <c r="ER17" s="397">
        <f>(BF17+BX17+CP17)*30%/70%+15046.84</f>
        <v>26014.197142857141</v>
      </c>
      <c r="ES17" s="397"/>
      <c r="ET17" s="397"/>
      <c r="EU17" s="397"/>
      <c r="EV17" s="397"/>
      <c r="EW17" s="397"/>
      <c r="EX17" s="397"/>
      <c r="EY17" s="397"/>
      <c r="EZ17" s="397"/>
      <c r="FA17" s="397"/>
      <c r="FB17" s="397"/>
      <c r="FC17" s="397"/>
      <c r="FD17" s="397"/>
      <c r="FE17" s="397"/>
      <c r="FF17" s="397"/>
      <c r="FG17" s="397"/>
      <c r="FH17" s="397"/>
      <c r="FI17" s="397"/>
      <c r="FJ17" s="397">
        <f t="shared" si="0"/>
        <v>162596.36528571427</v>
      </c>
      <c r="FK17" s="397"/>
      <c r="FL17" s="397"/>
      <c r="FM17" s="397"/>
      <c r="FN17" s="397"/>
      <c r="FO17" s="397"/>
      <c r="FP17" s="397"/>
      <c r="FQ17" s="397"/>
      <c r="FR17" s="397"/>
      <c r="FS17" s="397"/>
      <c r="FT17" s="397"/>
      <c r="FU17" s="397"/>
      <c r="FV17" s="397"/>
      <c r="FW17" s="397"/>
      <c r="FX17" s="397"/>
      <c r="FY17" s="397"/>
      <c r="FZ17" s="398">
        <f>((AO17+FJ17)*12)-0.04</f>
        <v>3452045.8691428564</v>
      </c>
      <c r="GA17" s="398"/>
      <c r="GB17" s="398"/>
      <c r="GC17" s="398"/>
      <c r="GD17" s="398"/>
      <c r="GE17" s="398"/>
      <c r="GF17" s="398"/>
      <c r="GG17" s="398"/>
      <c r="GH17" s="398"/>
      <c r="GI17" s="398"/>
      <c r="GJ17" s="398"/>
      <c r="GK17" s="398"/>
      <c r="GL17" s="398"/>
      <c r="GM17" s="398"/>
      <c r="GN17" s="398"/>
      <c r="GO17" s="398"/>
      <c r="GP17" s="398"/>
      <c r="GQ17" s="300">
        <f>(GR12*6.5)*12</f>
        <v>3452046</v>
      </c>
      <c r="GR17" s="275">
        <f t="shared" si="1"/>
        <v>0.13085714355111122</v>
      </c>
      <c r="GS17" s="275">
        <f t="shared" si="2"/>
        <v>1.0904761962592602E-2</v>
      </c>
      <c r="GT17" s="275">
        <f t="shared" si="3"/>
        <v>4.7412008533011312E-3</v>
      </c>
      <c r="GU17" s="275"/>
      <c r="GV17" s="275"/>
      <c r="GW17" s="399"/>
      <c r="GX17" s="401"/>
      <c r="GY17" s="399">
        <f>GY16+GY15+GY14</f>
        <v>45526891.759999998</v>
      </c>
      <c r="GZ17" s="400"/>
      <c r="HA17" s="401"/>
      <c r="HB17" s="275"/>
      <c r="HC17" s="275"/>
    </row>
    <row r="18" spans="1:211" s="274" customFormat="1" ht="54" customHeight="1">
      <c r="A18" s="385" t="s">
        <v>307</v>
      </c>
      <c r="B18" s="385"/>
      <c r="C18" s="385"/>
      <c r="D18" s="385"/>
      <c r="E18" s="385"/>
      <c r="F18" s="385"/>
      <c r="G18" s="407" t="s">
        <v>306</v>
      </c>
      <c r="H18" s="407"/>
      <c r="I18" s="407"/>
      <c r="J18" s="407"/>
      <c r="K18" s="407"/>
      <c r="L18" s="407"/>
      <c r="M18" s="407"/>
      <c r="N18" s="407"/>
      <c r="O18" s="407"/>
      <c r="P18" s="407"/>
      <c r="Q18" s="407"/>
      <c r="R18" s="407"/>
      <c r="S18" s="407"/>
      <c r="T18" s="407"/>
      <c r="U18" s="407"/>
      <c r="V18" s="407"/>
      <c r="W18" s="407"/>
      <c r="X18" s="407"/>
      <c r="Y18" s="408">
        <v>6.5</v>
      </c>
      <c r="Z18" s="408"/>
      <c r="AA18" s="408"/>
      <c r="AB18" s="408"/>
      <c r="AC18" s="408"/>
      <c r="AD18" s="408"/>
      <c r="AE18" s="408"/>
      <c r="AF18" s="408"/>
      <c r="AG18" s="408"/>
      <c r="AH18" s="408"/>
      <c r="AI18" s="408"/>
      <c r="AJ18" s="408"/>
      <c r="AK18" s="408"/>
      <c r="AL18" s="408"/>
      <c r="AM18" s="408"/>
      <c r="AN18" s="408"/>
      <c r="AO18" s="397">
        <f>BF18+BX18+CP18+DH18+DZ18+ER18</f>
        <v>125074.12857142858</v>
      </c>
      <c r="AP18" s="397"/>
      <c r="AQ18" s="397"/>
      <c r="AR18" s="397"/>
      <c r="AS18" s="397"/>
      <c r="AT18" s="397"/>
      <c r="AU18" s="397"/>
      <c r="AV18" s="397"/>
      <c r="AW18" s="397"/>
      <c r="AX18" s="397"/>
      <c r="AY18" s="397"/>
      <c r="AZ18" s="397"/>
      <c r="BA18" s="397"/>
      <c r="BB18" s="397"/>
      <c r="BC18" s="397"/>
      <c r="BD18" s="397"/>
      <c r="BE18" s="397"/>
      <c r="BF18" s="397">
        <v>28190.5</v>
      </c>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c r="DF18" s="397"/>
      <c r="DG18" s="397"/>
      <c r="DH18" s="397">
        <v>567.20000000000005</v>
      </c>
      <c r="DI18" s="397"/>
      <c r="DJ18" s="397"/>
      <c r="DK18" s="397"/>
      <c r="DL18" s="397"/>
      <c r="DM18" s="397"/>
      <c r="DN18" s="397"/>
      <c r="DO18" s="397"/>
      <c r="DP18" s="397"/>
      <c r="DQ18" s="397"/>
      <c r="DR18" s="397"/>
      <c r="DS18" s="397"/>
      <c r="DT18" s="397"/>
      <c r="DU18" s="397"/>
      <c r="DV18" s="397"/>
      <c r="DW18" s="397"/>
      <c r="DX18" s="397"/>
      <c r="DY18" s="397"/>
      <c r="DZ18" s="397">
        <v>70206.570000000007</v>
      </c>
      <c r="EA18" s="397"/>
      <c r="EB18" s="397"/>
      <c r="EC18" s="397"/>
      <c r="ED18" s="397"/>
      <c r="EE18" s="397"/>
      <c r="EF18" s="397"/>
      <c r="EG18" s="397"/>
      <c r="EH18" s="397"/>
      <c r="EI18" s="397"/>
      <c r="EJ18" s="397"/>
      <c r="EK18" s="397"/>
      <c r="EL18" s="397"/>
      <c r="EM18" s="397"/>
      <c r="EN18" s="397"/>
      <c r="EO18" s="397"/>
      <c r="EP18" s="397"/>
      <c r="EQ18" s="397"/>
      <c r="ER18" s="397">
        <f>(BF18+BX18+CP18+DH18)*30%/70%+13785.13</f>
        <v>26109.858571428573</v>
      </c>
      <c r="ES18" s="397"/>
      <c r="ET18" s="397"/>
      <c r="EU18" s="397"/>
      <c r="EV18" s="397"/>
      <c r="EW18" s="397"/>
      <c r="EX18" s="397"/>
      <c r="EY18" s="397"/>
      <c r="EZ18" s="397"/>
      <c r="FA18" s="397"/>
      <c r="FB18" s="397"/>
      <c r="FC18" s="397"/>
      <c r="FD18" s="397"/>
      <c r="FE18" s="397"/>
      <c r="FF18" s="397"/>
      <c r="FG18" s="397"/>
      <c r="FH18" s="397"/>
      <c r="FI18" s="397"/>
      <c r="FJ18" s="397">
        <f t="shared" si="0"/>
        <v>162596.36714285711</v>
      </c>
      <c r="FK18" s="397"/>
      <c r="FL18" s="397"/>
      <c r="FM18" s="397"/>
      <c r="FN18" s="397"/>
      <c r="FO18" s="397"/>
      <c r="FP18" s="397"/>
      <c r="FQ18" s="397"/>
      <c r="FR18" s="397"/>
      <c r="FS18" s="397"/>
      <c r="FT18" s="397"/>
      <c r="FU18" s="397"/>
      <c r="FV18" s="397"/>
      <c r="FW18" s="397"/>
      <c r="FX18" s="397"/>
      <c r="FY18" s="397"/>
      <c r="FZ18" s="398">
        <f>(((AO18+FJ18)*12))+0.04</f>
        <v>3452045.9885714287</v>
      </c>
      <c r="GA18" s="398"/>
      <c r="GB18" s="398"/>
      <c r="GC18" s="398"/>
      <c r="GD18" s="398"/>
      <c r="GE18" s="398"/>
      <c r="GF18" s="398"/>
      <c r="GG18" s="398"/>
      <c r="GH18" s="398"/>
      <c r="GI18" s="398"/>
      <c r="GJ18" s="398"/>
      <c r="GK18" s="398"/>
      <c r="GL18" s="398"/>
      <c r="GM18" s="398"/>
      <c r="GN18" s="398"/>
      <c r="GO18" s="398"/>
      <c r="GP18" s="398"/>
      <c r="GQ18" s="300">
        <f>(GR12*6.5)*12</f>
        <v>3452046</v>
      </c>
      <c r="GR18" s="275">
        <f t="shared" si="1"/>
        <v>1.1428571306169033E-2</v>
      </c>
      <c r="GS18" s="275">
        <f t="shared" si="2"/>
        <v>9.5238094218075275E-4</v>
      </c>
      <c r="GT18" s="275">
        <f t="shared" si="3"/>
        <v>4.1407867051337081E-4</v>
      </c>
      <c r="GU18" s="275"/>
      <c r="GV18" s="275"/>
      <c r="GW18" s="399"/>
      <c r="GX18" s="401"/>
      <c r="GY18" s="399"/>
      <c r="GZ18" s="400"/>
      <c r="HA18" s="401"/>
      <c r="HB18" s="275"/>
      <c r="HC18" s="275"/>
    </row>
    <row r="19" spans="1:211" s="274" customFormat="1" ht="54" customHeight="1">
      <c r="A19" s="385" t="s">
        <v>308</v>
      </c>
      <c r="B19" s="385"/>
      <c r="C19" s="385"/>
      <c r="D19" s="385"/>
      <c r="E19" s="385"/>
      <c r="F19" s="385"/>
      <c r="G19" s="407" t="s">
        <v>309</v>
      </c>
      <c r="H19" s="407"/>
      <c r="I19" s="407"/>
      <c r="J19" s="407"/>
      <c r="K19" s="407"/>
      <c r="L19" s="407"/>
      <c r="M19" s="407"/>
      <c r="N19" s="407"/>
      <c r="O19" s="407"/>
      <c r="P19" s="407"/>
      <c r="Q19" s="407"/>
      <c r="R19" s="407"/>
      <c r="S19" s="407"/>
      <c r="T19" s="407"/>
      <c r="U19" s="407"/>
      <c r="V19" s="407"/>
      <c r="W19" s="407"/>
      <c r="X19" s="407"/>
      <c r="Y19" s="408">
        <v>1</v>
      </c>
      <c r="Z19" s="408"/>
      <c r="AA19" s="408"/>
      <c r="AB19" s="408"/>
      <c r="AC19" s="408"/>
      <c r="AD19" s="408"/>
      <c r="AE19" s="408"/>
      <c r="AF19" s="408"/>
      <c r="AG19" s="408"/>
      <c r="AH19" s="408"/>
      <c r="AI19" s="408"/>
      <c r="AJ19" s="408"/>
      <c r="AK19" s="408"/>
      <c r="AL19" s="408"/>
      <c r="AM19" s="408"/>
      <c r="AN19" s="408"/>
      <c r="AO19" s="397">
        <f>BF19+BX19+CP19+ER19+DZ19</f>
        <v>19242.16</v>
      </c>
      <c r="AP19" s="397"/>
      <c r="AQ19" s="397"/>
      <c r="AR19" s="397"/>
      <c r="AS19" s="397"/>
      <c r="AT19" s="397"/>
      <c r="AU19" s="397"/>
      <c r="AV19" s="397"/>
      <c r="AW19" s="397"/>
      <c r="AX19" s="397"/>
      <c r="AY19" s="397"/>
      <c r="AZ19" s="397"/>
      <c r="BA19" s="397"/>
      <c r="BB19" s="397"/>
      <c r="BC19" s="397"/>
      <c r="BD19" s="397"/>
      <c r="BE19" s="397"/>
      <c r="BF19" s="397">
        <v>8137</v>
      </c>
      <c r="BG19" s="397"/>
      <c r="BH19" s="397"/>
      <c r="BI19" s="397"/>
      <c r="BJ19" s="397"/>
      <c r="BK19" s="397"/>
      <c r="BL19" s="397"/>
      <c r="BM19" s="397"/>
      <c r="BN19" s="397"/>
      <c r="BO19" s="397"/>
      <c r="BP19" s="397"/>
      <c r="BQ19" s="397"/>
      <c r="BR19" s="397"/>
      <c r="BS19" s="397"/>
      <c r="BT19" s="397"/>
      <c r="BU19" s="397"/>
      <c r="BV19" s="397"/>
      <c r="BW19" s="397"/>
      <c r="BX19" s="397">
        <f>BF19*25%</f>
        <v>2034.25</v>
      </c>
      <c r="BY19" s="397"/>
      <c r="BZ19" s="397"/>
      <c r="CA19" s="397"/>
      <c r="CB19" s="397"/>
      <c r="CC19" s="397"/>
      <c r="CD19" s="397"/>
      <c r="CE19" s="397"/>
      <c r="CF19" s="397"/>
      <c r="CG19" s="397"/>
      <c r="CH19" s="397"/>
      <c r="CI19" s="397"/>
      <c r="CJ19" s="397"/>
      <c r="CK19" s="397"/>
      <c r="CL19" s="397"/>
      <c r="CM19" s="397"/>
      <c r="CN19" s="397"/>
      <c r="CO19" s="397"/>
      <c r="CP19" s="397"/>
      <c r="CQ19" s="397"/>
      <c r="CR19" s="397"/>
      <c r="CS19" s="397"/>
      <c r="CT19" s="397"/>
      <c r="CU19" s="397"/>
      <c r="CV19" s="397"/>
      <c r="CW19" s="397"/>
      <c r="CX19" s="397"/>
      <c r="CY19" s="397"/>
      <c r="CZ19" s="397"/>
      <c r="DA19" s="397"/>
      <c r="DB19" s="397"/>
      <c r="DC19" s="397"/>
      <c r="DD19" s="397"/>
      <c r="DE19" s="397"/>
      <c r="DF19" s="397"/>
      <c r="DG19" s="397"/>
      <c r="DH19" s="397"/>
      <c r="DI19" s="397"/>
      <c r="DJ19" s="397"/>
      <c r="DK19" s="397"/>
      <c r="DL19" s="397"/>
      <c r="DM19" s="397"/>
      <c r="DN19" s="397"/>
      <c r="DO19" s="397"/>
      <c r="DP19" s="397"/>
      <c r="DQ19" s="397"/>
      <c r="DR19" s="397"/>
      <c r="DS19" s="397"/>
      <c r="DT19" s="397"/>
      <c r="DU19" s="397"/>
      <c r="DV19" s="397"/>
      <c r="DW19" s="397"/>
      <c r="DX19" s="397"/>
      <c r="DY19" s="397"/>
      <c r="DZ19" s="397">
        <v>3198.91</v>
      </c>
      <c r="EA19" s="397"/>
      <c r="EB19" s="397"/>
      <c r="EC19" s="397"/>
      <c r="ED19" s="397"/>
      <c r="EE19" s="397"/>
      <c r="EF19" s="397"/>
      <c r="EG19" s="397"/>
      <c r="EH19" s="397"/>
      <c r="EI19" s="397"/>
      <c r="EJ19" s="397"/>
      <c r="EK19" s="397"/>
      <c r="EL19" s="397"/>
      <c r="EM19" s="397"/>
      <c r="EN19" s="397"/>
      <c r="EO19" s="397"/>
      <c r="EP19" s="397"/>
      <c r="EQ19" s="397"/>
      <c r="ER19" s="397">
        <f>3259.33+850+1762.67</f>
        <v>5872</v>
      </c>
      <c r="ES19" s="397"/>
      <c r="ET19" s="397"/>
      <c r="EU19" s="397"/>
      <c r="EV19" s="397"/>
      <c r="EW19" s="397"/>
      <c r="EX19" s="397"/>
      <c r="EY19" s="397"/>
      <c r="EZ19" s="397"/>
      <c r="FA19" s="397"/>
      <c r="FB19" s="397"/>
      <c r="FC19" s="397"/>
      <c r="FD19" s="397"/>
      <c r="FE19" s="397"/>
      <c r="FF19" s="397"/>
      <c r="FG19" s="397"/>
      <c r="FH19" s="397"/>
      <c r="FI19" s="397"/>
      <c r="FJ19" s="397">
        <f t="shared" si="0"/>
        <v>25014.807999999994</v>
      </c>
      <c r="FK19" s="397"/>
      <c r="FL19" s="397"/>
      <c r="FM19" s="397"/>
      <c r="FN19" s="397"/>
      <c r="FO19" s="397"/>
      <c r="FP19" s="397"/>
      <c r="FQ19" s="397"/>
      <c r="FR19" s="397"/>
      <c r="FS19" s="397"/>
      <c r="FT19" s="397"/>
      <c r="FU19" s="397"/>
      <c r="FV19" s="397"/>
      <c r="FW19" s="397"/>
      <c r="FX19" s="397"/>
      <c r="FY19" s="397"/>
      <c r="FZ19" s="398">
        <f>((AO19+FJ19)*12)+0.28</f>
        <v>531083.89599999995</v>
      </c>
      <c r="GA19" s="398"/>
      <c r="GB19" s="398"/>
      <c r="GC19" s="398"/>
      <c r="GD19" s="398"/>
      <c r="GE19" s="398"/>
      <c r="GF19" s="398"/>
      <c r="GG19" s="398"/>
      <c r="GH19" s="398"/>
      <c r="GI19" s="398"/>
      <c r="GJ19" s="398"/>
      <c r="GK19" s="398"/>
      <c r="GL19" s="398"/>
      <c r="GM19" s="398"/>
      <c r="GN19" s="398"/>
      <c r="GO19" s="398"/>
      <c r="GP19" s="398"/>
      <c r="GQ19" s="300">
        <f>GR12*12</f>
        <v>531084</v>
      </c>
      <c r="GR19" s="275">
        <f t="shared" si="1"/>
        <v>0.10400000005029142</v>
      </c>
      <c r="GS19" s="275">
        <f t="shared" si="2"/>
        <v>8.6666666708576177E-3</v>
      </c>
      <c r="GT19" s="275">
        <f t="shared" si="3"/>
        <v>3.7681159438511386E-3</v>
      </c>
      <c r="GU19" s="275"/>
      <c r="GV19" s="275"/>
      <c r="GW19" s="399"/>
      <c r="GX19" s="401"/>
      <c r="GY19" s="399">
        <f>FZ27-GY17</f>
        <v>-4.8571452498435974E-3</v>
      </c>
      <c r="GZ19" s="400"/>
      <c r="HA19" s="401"/>
      <c r="HB19" s="275"/>
      <c r="HC19" s="275"/>
    </row>
    <row r="20" spans="1:211" s="274" customFormat="1" ht="30" customHeight="1">
      <c r="A20" s="355" t="s">
        <v>310</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405">
        <f>SUM(Y14:AN19)</f>
        <v>19</v>
      </c>
      <c r="Z20" s="406"/>
      <c r="AA20" s="406"/>
      <c r="AB20" s="406"/>
      <c r="AC20" s="406"/>
      <c r="AD20" s="406"/>
      <c r="AE20" s="406"/>
      <c r="AF20" s="406"/>
      <c r="AG20" s="406"/>
      <c r="AH20" s="406"/>
      <c r="AI20" s="406"/>
      <c r="AJ20" s="406"/>
      <c r="AK20" s="406"/>
      <c r="AL20" s="406"/>
      <c r="AM20" s="406"/>
      <c r="AN20" s="406"/>
      <c r="AO20" s="403">
        <f>SUM(AO14:BE19)</f>
        <v>434975.48285714287</v>
      </c>
      <c r="AP20" s="403"/>
      <c r="AQ20" s="403"/>
      <c r="AR20" s="403"/>
      <c r="AS20" s="403"/>
      <c r="AT20" s="403"/>
      <c r="AU20" s="403"/>
      <c r="AV20" s="403"/>
      <c r="AW20" s="403"/>
      <c r="AX20" s="403"/>
      <c r="AY20" s="403"/>
      <c r="AZ20" s="403"/>
      <c r="BA20" s="403"/>
      <c r="BB20" s="403"/>
      <c r="BC20" s="403"/>
      <c r="BD20" s="403"/>
      <c r="BE20" s="403"/>
      <c r="BF20" s="403">
        <f>SUM(BF14:BW19)</f>
        <v>104977.5</v>
      </c>
      <c r="BG20" s="403"/>
      <c r="BH20" s="403"/>
      <c r="BI20" s="403"/>
      <c r="BJ20" s="403"/>
      <c r="BK20" s="403"/>
      <c r="BL20" s="403"/>
      <c r="BM20" s="403"/>
      <c r="BN20" s="403"/>
      <c r="BO20" s="403"/>
      <c r="BP20" s="403"/>
      <c r="BQ20" s="403"/>
      <c r="BR20" s="403"/>
      <c r="BS20" s="403"/>
      <c r="BT20" s="403"/>
      <c r="BU20" s="403"/>
      <c r="BV20" s="403"/>
      <c r="BW20" s="403"/>
      <c r="BX20" s="403">
        <f>SUM(BX14:BX19)</f>
        <v>12799.125</v>
      </c>
      <c r="BY20" s="403"/>
      <c r="BZ20" s="403"/>
      <c r="CA20" s="403"/>
      <c r="CB20" s="403"/>
      <c r="CC20" s="403"/>
      <c r="CD20" s="403"/>
      <c r="CE20" s="403"/>
      <c r="CF20" s="403"/>
      <c r="CG20" s="403"/>
      <c r="CH20" s="403"/>
      <c r="CI20" s="403"/>
      <c r="CJ20" s="403"/>
      <c r="CK20" s="403"/>
      <c r="CL20" s="403"/>
      <c r="CM20" s="403"/>
      <c r="CN20" s="403"/>
      <c r="CO20" s="403"/>
      <c r="CP20" s="403">
        <f>SUM(CP14:CP19)</f>
        <v>0</v>
      </c>
      <c r="CQ20" s="403"/>
      <c r="CR20" s="403"/>
      <c r="CS20" s="403"/>
      <c r="CT20" s="403"/>
      <c r="CU20" s="403"/>
      <c r="CV20" s="403"/>
      <c r="CW20" s="403"/>
      <c r="CX20" s="403"/>
      <c r="CY20" s="403"/>
      <c r="CZ20" s="403"/>
      <c r="DA20" s="403"/>
      <c r="DB20" s="403"/>
      <c r="DC20" s="403"/>
      <c r="DD20" s="403"/>
      <c r="DE20" s="403"/>
      <c r="DF20" s="403"/>
      <c r="DG20" s="403"/>
      <c r="DH20" s="403">
        <f>SUM(DH14:DH19)</f>
        <v>824.28</v>
      </c>
      <c r="DI20" s="403"/>
      <c r="DJ20" s="403"/>
      <c r="DK20" s="403"/>
      <c r="DL20" s="403"/>
      <c r="DM20" s="403"/>
      <c r="DN20" s="403"/>
      <c r="DO20" s="403"/>
      <c r="DP20" s="403"/>
      <c r="DQ20" s="403"/>
      <c r="DR20" s="403"/>
      <c r="DS20" s="403"/>
      <c r="DT20" s="403"/>
      <c r="DU20" s="403"/>
      <c r="DV20" s="403"/>
      <c r="DW20" s="403"/>
      <c r="DX20" s="403"/>
      <c r="DY20" s="403"/>
      <c r="DZ20" s="403">
        <f>SUM(DZ14:DZ19)</f>
        <v>164293.30000000002</v>
      </c>
      <c r="EA20" s="403"/>
      <c r="EB20" s="403"/>
      <c r="EC20" s="403"/>
      <c r="ED20" s="403"/>
      <c r="EE20" s="403"/>
      <c r="EF20" s="403"/>
      <c r="EG20" s="403"/>
      <c r="EH20" s="403"/>
      <c r="EI20" s="403"/>
      <c r="EJ20" s="403"/>
      <c r="EK20" s="403"/>
      <c r="EL20" s="403"/>
      <c r="EM20" s="403"/>
      <c r="EN20" s="403"/>
      <c r="EO20" s="403"/>
      <c r="EP20" s="403"/>
      <c r="EQ20" s="403"/>
      <c r="ER20" s="403">
        <f>SUM(ER14:FI19)</f>
        <v>152338.35785714287</v>
      </c>
      <c r="ES20" s="403"/>
      <c r="ET20" s="403"/>
      <c r="EU20" s="403"/>
      <c r="EV20" s="403"/>
      <c r="EW20" s="403"/>
      <c r="EX20" s="403"/>
      <c r="EY20" s="403"/>
      <c r="EZ20" s="403"/>
      <c r="FA20" s="403"/>
      <c r="FB20" s="403"/>
      <c r="FC20" s="403"/>
      <c r="FD20" s="403"/>
      <c r="FE20" s="403"/>
      <c r="FF20" s="403"/>
      <c r="FG20" s="403"/>
      <c r="FH20" s="403"/>
      <c r="FI20" s="403"/>
      <c r="FJ20" s="403">
        <f>SUM(FJ14:FJ19)</f>
        <v>565468.12771428563</v>
      </c>
      <c r="FK20" s="403"/>
      <c r="FL20" s="403"/>
      <c r="FM20" s="403"/>
      <c r="FN20" s="403"/>
      <c r="FO20" s="403"/>
      <c r="FP20" s="403"/>
      <c r="FQ20" s="403"/>
      <c r="FR20" s="403"/>
      <c r="FS20" s="403"/>
      <c r="FT20" s="403"/>
      <c r="FU20" s="403"/>
      <c r="FV20" s="403"/>
      <c r="FW20" s="403"/>
      <c r="FX20" s="403"/>
      <c r="FY20" s="403"/>
      <c r="FZ20" s="404">
        <f>SUM(FZ14:FZ19)-0.02</f>
        <v>12005323.916857144</v>
      </c>
      <c r="GA20" s="404"/>
      <c r="GB20" s="404"/>
      <c r="GC20" s="404"/>
      <c r="GD20" s="404"/>
      <c r="GE20" s="404"/>
      <c r="GF20" s="404"/>
      <c r="GG20" s="404"/>
      <c r="GH20" s="404"/>
      <c r="GI20" s="404"/>
      <c r="GJ20" s="404"/>
      <c r="GK20" s="404"/>
      <c r="GL20" s="404"/>
      <c r="GM20" s="404"/>
      <c r="GN20" s="404"/>
      <c r="GO20" s="404"/>
      <c r="GP20" s="404"/>
      <c r="GQ20" s="300"/>
      <c r="GR20" s="275"/>
      <c r="GS20" s="275"/>
      <c r="GT20" s="275"/>
      <c r="GU20" s="275"/>
      <c r="GV20" s="275"/>
      <c r="GW20" s="399"/>
      <c r="GX20" s="401"/>
      <c r="GY20" s="399">
        <f>GY19/12/2.3</f>
        <v>-1.7598352354505789E-4</v>
      </c>
      <c r="GZ20" s="400"/>
      <c r="HA20" s="401"/>
      <c r="HB20" s="275"/>
      <c r="HC20" s="275"/>
    </row>
    <row r="21" spans="1:211" s="274" customFormat="1" ht="32.1" customHeight="1">
      <c r="A21" s="389">
        <v>1</v>
      </c>
      <c r="B21" s="389"/>
      <c r="C21" s="389"/>
      <c r="D21" s="389"/>
      <c r="E21" s="389"/>
      <c r="F21" s="389"/>
      <c r="G21" s="393" t="s">
        <v>311</v>
      </c>
      <c r="H21" s="393"/>
      <c r="I21" s="393"/>
      <c r="J21" s="393"/>
      <c r="K21" s="393"/>
      <c r="L21" s="393"/>
      <c r="M21" s="393"/>
      <c r="N21" s="393"/>
      <c r="O21" s="393"/>
      <c r="P21" s="393"/>
      <c r="Q21" s="393"/>
      <c r="R21" s="393"/>
      <c r="S21" s="393"/>
      <c r="T21" s="393"/>
      <c r="U21" s="393"/>
      <c r="V21" s="393"/>
      <c r="W21" s="393"/>
      <c r="X21" s="393"/>
      <c r="Y21" s="402">
        <v>8.75</v>
      </c>
      <c r="Z21" s="402"/>
      <c r="AA21" s="402"/>
      <c r="AB21" s="402"/>
      <c r="AC21" s="402"/>
      <c r="AD21" s="402"/>
      <c r="AE21" s="402"/>
      <c r="AF21" s="402"/>
      <c r="AG21" s="402"/>
      <c r="AH21" s="402"/>
      <c r="AI21" s="402"/>
      <c r="AJ21" s="402"/>
      <c r="AK21" s="402"/>
      <c r="AL21" s="402"/>
      <c r="AM21" s="402"/>
      <c r="AN21" s="402"/>
      <c r="AO21" s="397">
        <f>BF21+BX21+CP21+DH21+ER21</f>
        <v>216371.52499999999</v>
      </c>
      <c r="AP21" s="397"/>
      <c r="AQ21" s="397"/>
      <c r="AR21" s="397"/>
      <c r="AS21" s="397"/>
      <c r="AT21" s="397"/>
      <c r="AU21" s="397"/>
      <c r="AV21" s="397"/>
      <c r="AW21" s="397"/>
      <c r="AX21" s="397"/>
      <c r="AY21" s="397"/>
      <c r="AZ21" s="397"/>
      <c r="BA21" s="397"/>
      <c r="BB21" s="397"/>
      <c r="BC21" s="397"/>
      <c r="BD21" s="397"/>
      <c r="BE21" s="397"/>
      <c r="BF21" s="397">
        <f>36286.5+8789+8910+4455+9389+9389</f>
        <v>77218.5</v>
      </c>
      <c r="BG21" s="397"/>
      <c r="BH21" s="397"/>
      <c r="BI21" s="397"/>
      <c r="BJ21" s="397"/>
      <c r="BK21" s="397"/>
      <c r="BL21" s="397"/>
      <c r="BM21" s="397"/>
      <c r="BN21" s="397"/>
      <c r="BO21" s="397"/>
      <c r="BP21" s="397"/>
      <c r="BQ21" s="397"/>
      <c r="BR21" s="397"/>
      <c r="BS21" s="397"/>
      <c r="BT21" s="397"/>
      <c r="BU21" s="397"/>
      <c r="BV21" s="397"/>
      <c r="BW21" s="397"/>
      <c r="BX21" s="397">
        <f>BF21*25%</f>
        <v>19304.625</v>
      </c>
      <c r="BY21" s="397"/>
      <c r="BZ21" s="397"/>
      <c r="CA21" s="397"/>
      <c r="CB21" s="397"/>
      <c r="CC21" s="397"/>
      <c r="CD21" s="397"/>
      <c r="CE21" s="397"/>
      <c r="CF21" s="397"/>
      <c r="CG21" s="397"/>
      <c r="CH21" s="397"/>
      <c r="CI21" s="397"/>
      <c r="CJ21" s="397"/>
      <c r="CK21" s="397"/>
      <c r="CL21" s="397"/>
      <c r="CM21" s="397"/>
      <c r="CN21" s="397"/>
      <c r="CO21" s="397"/>
      <c r="CP21" s="397">
        <f>1600.88+938.9+938.9</f>
        <v>3478.6800000000003</v>
      </c>
      <c r="CQ21" s="397"/>
      <c r="CR21" s="397"/>
      <c r="CS21" s="397"/>
      <c r="CT21" s="397"/>
      <c r="CU21" s="397"/>
      <c r="CV21" s="397"/>
      <c r="CW21" s="397"/>
      <c r="CX21" s="397"/>
      <c r="CY21" s="397"/>
      <c r="CZ21" s="397"/>
      <c r="DA21" s="397"/>
      <c r="DB21" s="397"/>
      <c r="DC21" s="397"/>
      <c r="DD21" s="397"/>
      <c r="DE21" s="397"/>
      <c r="DF21" s="397"/>
      <c r="DG21" s="397"/>
      <c r="DH21" s="397">
        <f>2561.4+891+1877.8+1877.8</f>
        <v>7208</v>
      </c>
      <c r="DI21" s="397"/>
      <c r="DJ21" s="397"/>
      <c r="DK21" s="397"/>
      <c r="DL21" s="397"/>
      <c r="DM21" s="397"/>
      <c r="DN21" s="397"/>
      <c r="DO21" s="397"/>
      <c r="DP21" s="397"/>
      <c r="DQ21" s="397"/>
      <c r="DR21" s="397"/>
      <c r="DS21" s="397"/>
      <c r="DT21" s="397"/>
      <c r="DU21" s="397"/>
      <c r="DV21" s="397"/>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f>114759.64-5597.92</f>
        <v>109161.72</v>
      </c>
      <c r="ES21" s="397"/>
      <c r="ET21" s="397"/>
      <c r="EU21" s="397"/>
      <c r="EV21" s="397"/>
      <c r="EW21" s="397"/>
      <c r="EX21" s="397"/>
      <c r="EY21" s="397"/>
      <c r="EZ21" s="397"/>
      <c r="FA21" s="397"/>
      <c r="FB21" s="397"/>
      <c r="FC21" s="397"/>
      <c r="FD21" s="397"/>
      <c r="FE21" s="397"/>
      <c r="FF21" s="397"/>
      <c r="FG21" s="397"/>
      <c r="FH21" s="397"/>
      <c r="FI21" s="397"/>
      <c r="FJ21" s="397">
        <f>AO21*2.3-AO21</f>
        <v>281282.98249999993</v>
      </c>
      <c r="FK21" s="397"/>
      <c r="FL21" s="397"/>
      <c r="FM21" s="397"/>
      <c r="FN21" s="397"/>
      <c r="FO21" s="397"/>
      <c r="FP21" s="397"/>
      <c r="FQ21" s="397"/>
      <c r="FR21" s="397"/>
      <c r="FS21" s="397"/>
      <c r="FT21" s="397"/>
      <c r="FU21" s="397"/>
      <c r="FV21" s="397"/>
      <c r="FW21" s="397"/>
      <c r="FX21" s="397"/>
      <c r="FY21" s="397"/>
      <c r="FZ21" s="398">
        <f>(AO21+FJ21)*12</f>
        <v>5971854.0899999999</v>
      </c>
      <c r="GA21" s="398"/>
      <c r="GB21" s="398"/>
      <c r="GC21" s="398"/>
      <c r="GD21" s="398"/>
      <c r="GE21" s="398"/>
      <c r="GF21" s="398"/>
      <c r="GG21" s="398"/>
      <c r="GH21" s="398"/>
      <c r="GI21" s="398"/>
      <c r="GJ21" s="398"/>
      <c r="GK21" s="398"/>
      <c r="GL21" s="398"/>
      <c r="GM21" s="398"/>
      <c r="GN21" s="398"/>
      <c r="GO21" s="398"/>
      <c r="GP21" s="398"/>
      <c r="GQ21" s="300">
        <f>6654351.6-682497.6</f>
        <v>5971854</v>
      </c>
      <c r="GR21" s="275">
        <f t="shared" si="1"/>
        <v>-8.9999999850988388E-2</v>
      </c>
      <c r="GS21" s="275">
        <f t="shared" si="2"/>
        <v>-7.499999987582366E-3</v>
      </c>
      <c r="GT21" s="275">
        <f t="shared" si="3"/>
        <v>-3.2608695598184204E-3</v>
      </c>
      <c r="GU21" s="275"/>
      <c r="GV21" s="275"/>
      <c r="GW21" s="275"/>
      <c r="GX21" s="275"/>
      <c r="GY21" s="399"/>
      <c r="GZ21" s="400"/>
      <c r="HA21" s="401"/>
      <c r="HB21" s="275"/>
      <c r="HC21" s="275"/>
    </row>
    <row r="22" spans="1:211" s="274" customFormat="1" ht="32.1" customHeight="1">
      <c r="A22" s="389">
        <v>2</v>
      </c>
      <c r="B22" s="389"/>
      <c r="C22" s="389"/>
      <c r="D22" s="389"/>
      <c r="E22" s="389"/>
      <c r="F22" s="389"/>
      <c r="G22" s="393" t="s">
        <v>312</v>
      </c>
      <c r="H22" s="393"/>
      <c r="I22" s="393"/>
      <c r="J22" s="393"/>
      <c r="K22" s="393"/>
      <c r="L22" s="393"/>
      <c r="M22" s="393"/>
      <c r="N22" s="393"/>
      <c r="O22" s="393"/>
      <c r="P22" s="393"/>
      <c r="Q22" s="393"/>
      <c r="R22" s="393"/>
      <c r="S22" s="393"/>
      <c r="T22" s="393"/>
      <c r="U22" s="393"/>
      <c r="V22" s="393"/>
      <c r="W22" s="393"/>
      <c r="X22" s="393"/>
      <c r="Y22" s="402">
        <v>1</v>
      </c>
      <c r="Z22" s="402"/>
      <c r="AA22" s="402"/>
      <c r="AB22" s="402"/>
      <c r="AC22" s="402"/>
      <c r="AD22" s="402"/>
      <c r="AE22" s="402"/>
      <c r="AF22" s="402"/>
      <c r="AG22" s="402"/>
      <c r="AH22" s="402"/>
      <c r="AI22" s="402"/>
      <c r="AJ22" s="402"/>
      <c r="AK22" s="402"/>
      <c r="AL22" s="402"/>
      <c r="AM22" s="402"/>
      <c r="AN22" s="402"/>
      <c r="AO22" s="397">
        <f>BF22+BX22+CP22+DH22+ER22</f>
        <v>31471.409999999996</v>
      </c>
      <c r="AP22" s="397"/>
      <c r="AQ22" s="397"/>
      <c r="AR22" s="397"/>
      <c r="AS22" s="397"/>
      <c r="AT22" s="397"/>
      <c r="AU22" s="397"/>
      <c r="AV22" s="397"/>
      <c r="AW22" s="397"/>
      <c r="AX22" s="397"/>
      <c r="AY22" s="397"/>
      <c r="AZ22" s="397"/>
      <c r="BA22" s="397"/>
      <c r="BB22" s="397"/>
      <c r="BC22" s="397"/>
      <c r="BD22" s="397"/>
      <c r="BE22" s="397"/>
      <c r="BF22" s="397">
        <v>9389</v>
      </c>
      <c r="BG22" s="397"/>
      <c r="BH22" s="397"/>
      <c r="BI22" s="397"/>
      <c r="BJ22" s="397"/>
      <c r="BK22" s="397"/>
      <c r="BL22" s="397"/>
      <c r="BM22" s="397"/>
      <c r="BN22" s="397"/>
      <c r="BO22" s="397"/>
      <c r="BP22" s="397"/>
      <c r="BQ22" s="397"/>
      <c r="BR22" s="397"/>
      <c r="BS22" s="397"/>
      <c r="BT22" s="397"/>
      <c r="BU22" s="397"/>
      <c r="BV22" s="397"/>
      <c r="BW22" s="397"/>
      <c r="BX22" s="397">
        <f>BF22*25%</f>
        <v>2347.25</v>
      </c>
      <c r="BY22" s="397"/>
      <c r="BZ22" s="397"/>
      <c r="CA22" s="397"/>
      <c r="CB22" s="397"/>
      <c r="CC22" s="397"/>
      <c r="CD22" s="397"/>
      <c r="CE22" s="397"/>
      <c r="CF22" s="397"/>
      <c r="CG22" s="397"/>
      <c r="CH22" s="397"/>
      <c r="CI22" s="397"/>
      <c r="CJ22" s="397"/>
      <c r="CK22" s="397"/>
      <c r="CL22" s="397"/>
      <c r="CM22" s="397"/>
      <c r="CN22" s="397"/>
      <c r="CO22" s="397"/>
      <c r="CP22" s="397">
        <v>1334.85</v>
      </c>
      <c r="CQ22" s="397"/>
      <c r="CR22" s="397"/>
      <c r="CS22" s="397"/>
      <c r="CT22" s="397"/>
      <c r="CU22" s="397"/>
      <c r="CV22" s="397"/>
      <c r="CW22" s="397"/>
      <c r="CX22" s="397"/>
      <c r="CY22" s="397"/>
      <c r="CZ22" s="397"/>
      <c r="DA22" s="397"/>
      <c r="DB22" s="397"/>
      <c r="DC22" s="397"/>
      <c r="DD22" s="397"/>
      <c r="DE22" s="397"/>
      <c r="DF22" s="397"/>
      <c r="DG22" s="397"/>
      <c r="DH22" s="397">
        <v>1877.8</v>
      </c>
      <c r="DI22" s="397"/>
      <c r="DJ22" s="397"/>
      <c r="DK22" s="397"/>
      <c r="DL22" s="397"/>
      <c r="DM22" s="397"/>
      <c r="DN22" s="397"/>
      <c r="DO22" s="397"/>
      <c r="DP22" s="397"/>
      <c r="DQ22" s="397"/>
      <c r="DR22" s="397"/>
      <c r="DS22" s="397"/>
      <c r="DT22" s="397"/>
      <c r="DU22" s="397"/>
      <c r="DV22" s="397"/>
      <c r="DW22" s="397"/>
      <c r="DX22" s="397"/>
      <c r="DY22" s="397"/>
      <c r="DZ22" s="397"/>
      <c r="EA22" s="397"/>
      <c r="EB22" s="397"/>
      <c r="EC22" s="397"/>
      <c r="ED22" s="397"/>
      <c r="EE22" s="397"/>
      <c r="EF22" s="397"/>
      <c r="EG22" s="397"/>
      <c r="EH22" s="397"/>
      <c r="EI22" s="397"/>
      <c r="EJ22" s="397"/>
      <c r="EK22" s="397"/>
      <c r="EL22" s="397"/>
      <c r="EM22" s="397"/>
      <c r="EN22" s="397"/>
      <c r="EO22" s="397"/>
      <c r="EP22" s="397"/>
      <c r="EQ22" s="397"/>
      <c r="ER22" s="397">
        <f>10934.73+5587.78</f>
        <v>16522.509999999998</v>
      </c>
      <c r="ES22" s="397"/>
      <c r="ET22" s="397"/>
      <c r="EU22" s="397"/>
      <c r="EV22" s="397"/>
      <c r="EW22" s="397"/>
      <c r="EX22" s="397"/>
      <c r="EY22" s="397"/>
      <c r="EZ22" s="397"/>
      <c r="FA22" s="397"/>
      <c r="FB22" s="397"/>
      <c r="FC22" s="397"/>
      <c r="FD22" s="397"/>
      <c r="FE22" s="397"/>
      <c r="FF22" s="397"/>
      <c r="FG22" s="397"/>
      <c r="FH22" s="397"/>
      <c r="FI22" s="397"/>
      <c r="FJ22" s="397">
        <f>AO22*2.3-AO22</f>
        <v>40912.832999999991</v>
      </c>
      <c r="FK22" s="397"/>
      <c r="FL22" s="397"/>
      <c r="FM22" s="397"/>
      <c r="FN22" s="397"/>
      <c r="FO22" s="397"/>
      <c r="FP22" s="397"/>
      <c r="FQ22" s="397"/>
      <c r="FR22" s="397"/>
      <c r="FS22" s="397"/>
      <c r="FT22" s="397"/>
      <c r="FU22" s="397"/>
      <c r="FV22" s="397"/>
      <c r="FW22" s="397"/>
      <c r="FX22" s="397"/>
      <c r="FY22" s="397"/>
      <c r="FZ22" s="398">
        <f>(AO22+FJ22)*12-0.17</f>
        <v>868610.74599999981</v>
      </c>
      <c r="GA22" s="398"/>
      <c r="GB22" s="398"/>
      <c r="GC22" s="398"/>
      <c r="GD22" s="398"/>
      <c r="GE22" s="398"/>
      <c r="GF22" s="398"/>
      <c r="GG22" s="398"/>
      <c r="GH22" s="398"/>
      <c r="GI22" s="398"/>
      <c r="GJ22" s="398"/>
      <c r="GK22" s="398"/>
      <c r="GL22" s="398"/>
      <c r="GM22" s="398"/>
      <c r="GN22" s="398"/>
      <c r="GO22" s="398"/>
      <c r="GP22" s="398"/>
      <c r="GQ22" s="300">
        <f>(77584.22-5200)*12</f>
        <v>868610.64</v>
      </c>
      <c r="GR22" s="275">
        <f>GQ22-FZ22</f>
        <v>-0.10599999979604036</v>
      </c>
      <c r="GS22" s="275">
        <f t="shared" si="2"/>
        <v>-8.8333333163366969E-3</v>
      </c>
      <c r="GT22" s="275">
        <f t="shared" si="3"/>
        <v>-3.8405797027550861E-3</v>
      </c>
      <c r="GU22" s="275"/>
      <c r="GV22" s="275"/>
      <c r="GW22" s="275"/>
      <c r="GX22" s="275"/>
      <c r="GY22" s="399"/>
      <c r="GZ22" s="400"/>
      <c r="HA22" s="401"/>
      <c r="HB22" s="275"/>
      <c r="HC22" s="275"/>
    </row>
    <row r="23" spans="1:211" s="274" customFormat="1" ht="32.1" customHeight="1">
      <c r="A23" s="389">
        <v>3</v>
      </c>
      <c r="B23" s="389"/>
      <c r="C23" s="389"/>
      <c r="D23" s="389"/>
      <c r="E23" s="389"/>
      <c r="F23" s="389"/>
      <c r="G23" s="393" t="s">
        <v>313</v>
      </c>
      <c r="H23" s="393"/>
      <c r="I23" s="393"/>
      <c r="J23" s="393"/>
      <c r="K23" s="393"/>
      <c r="L23" s="393"/>
      <c r="M23" s="393"/>
      <c r="N23" s="393"/>
      <c r="O23" s="393"/>
      <c r="P23" s="393"/>
      <c r="Q23" s="393"/>
      <c r="R23" s="393"/>
      <c r="S23" s="393"/>
      <c r="T23" s="393"/>
      <c r="U23" s="393"/>
      <c r="V23" s="393"/>
      <c r="W23" s="393"/>
      <c r="X23" s="393"/>
      <c r="Y23" s="402">
        <v>1</v>
      </c>
      <c r="Z23" s="402"/>
      <c r="AA23" s="402"/>
      <c r="AB23" s="402"/>
      <c r="AC23" s="402"/>
      <c r="AD23" s="402"/>
      <c r="AE23" s="402"/>
      <c r="AF23" s="402"/>
      <c r="AG23" s="402"/>
      <c r="AH23" s="402"/>
      <c r="AI23" s="402"/>
      <c r="AJ23" s="402"/>
      <c r="AK23" s="402"/>
      <c r="AL23" s="402"/>
      <c r="AM23" s="402"/>
      <c r="AN23" s="402"/>
      <c r="AO23" s="397">
        <f>BF23+BX23+CP23+DH23+ER23</f>
        <v>31471.4</v>
      </c>
      <c r="AP23" s="397"/>
      <c r="AQ23" s="397"/>
      <c r="AR23" s="397"/>
      <c r="AS23" s="397"/>
      <c r="AT23" s="397"/>
      <c r="AU23" s="397"/>
      <c r="AV23" s="397"/>
      <c r="AW23" s="397"/>
      <c r="AX23" s="397"/>
      <c r="AY23" s="397"/>
      <c r="AZ23" s="397"/>
      <c r="BA23" s="397"/>
      <c r="BB23" s="397"/>
      <c r="BC23" s="397"/>
      <c r="BD23" s="397"/>
      <c r="BE23" s="397"/>
      <c r="BF23" s="397">
        <v>9389</v>
      </c>
      <c r="BG23" s="397"/>
      <c r="BH23" s="397"/>
      <c r="BI23" s="397"/>
      <c r="BJ23" s="397"/>
      <c r="BK23" s="397"/>
      <c r="BL23" s="397"/>
      <c r="BM23" s="397"/>
      <c r="BN23" s="397"/>
      <c r="BO23" s="397"/>
      <c r="BP23" s="397"/>
      <c r="BQ23" s="397"/>
      <c r="BR23" s="397"/>
      <c r="BS23" s="397"/>
      <c r="BT23" s="397"/>
      <c r="BU23" s="397"/>
      <c r="BV23" s="397"/>
      <c r="BW23" s="397"/>
      <c r="BX23" s="397">
        <f>BF23*25%</f>
        <v>2347.25</v>
      </c>
      <c r="BY23" s="397"/>
      <c r="BZ23" s="397"/>
      <c r="CA23" s="397"/>
      <c r="CB23" s="397"/>
      <c r="CC23" s="397"/>
      <c r="CD23" s="397"/>
      <c r="CE23" s="397"/>
      <c r="CF23" s="397"/>
      <c r="CG23" s="397"/>
      <c r="CH23" s="397"/>
      <c r="CI23" s="397"/>
      <c r="CJ23" s="397"/>
      <c r="CK23" s="397"/>
      <c r="CL23" s="397"/>
      <c r="CM23" s="397"/>
      <c r="CN23" s="397"/>
      <c r="CO23" s="397"/>
      <c r="CP23" s="397"/>
      <c r="CQ23" s="397"/>
      <c r="CR23" s="397"/>
      <c r="CS23" s="397"/>
      <c r="CT23" s="397"/>
      <c r="CU23" s="397"/>
      <c r="CV23" s="397"/>
      <c r="CW23" s="397"/>
      <c r="CX23" s="397"/>
      <c r="CY23" s="397"/>
      <c r="CZ23" s="397"/>
      <c r="DA23" s="397"/>
      <c r="DB23" s="397"/>
      <c r="DC23" s="397"/>
      <c r="DD23" s="397"/>
      <c r="DE23" s="397"/>
      <c r="DF23" s="397"/>
      <c r="DG23" s="397"/>
      <c r="DH23" s="397"/>
      <c r="DI23" s="397"/>
      <c r="DJ23" s="397"/>
      <c r="DK23" s="397"/>
      <c r="DL23" s="397"/>
      <c r="DM23" s="397"/>
      <c r="DN23" s="397"/>
      <c r="DO23" s="397"/>
      <c r="DP23" s="397"/>
      <c r="DQ23" s="397"/>
      <c r="DR23" s="397"/>
      <c r="DS23" s="397"/>
      <c r="DT23" s="397"/>
      <c r="DU23" s="397"/>
      <c r="DV23" s="397"/>
      <c r="DW23" s="397"/>
      <c r="DX23" s="397"/>
      <c r="DY23" s="397"/>
      <c r="DZ23" s="397"/>
      <c r="EA23" s="397"/>
      <c r="EB23" s="397"/>
      <c r="EC23" s="397"/>
      <c r="ED23" s="397"/>
      <c r="EE23" s="397"/>
      <c r="EF23" s="397"/>
      <c r="EG23" s="397"/>
      <c r="EH23" s="397"/>
      <c r="EI23" s="397"/>
      <c r="EJ23" s="397"/>
      <c r="EK23" s="397"/>
      <c r="EL23" s="397"/>
      <c r="EM23" s="397"/>
      <c r="EN23" s="397"/>
      <c r="EO23" s="397"/>
      <c r="EP23" s="397"/>
      <c r="EQ23" s="397"/>
      <c r="ER23" s="397">
        <f>10935.73+8799.42</f>
        <v>19735.150000000001</v>
      </c>
      <c r="ES23" s="397"/>
      <c r="ET23" s="397"/>
      <c r="EU23" s="397"/>
      <c r="EV23" s="397"/>
      <c r="EW23" s="397"/>
      <c r="EX23" s="397"/>
      <c r="EY23" s="397"/>
      <c r="EZ23" s="397"/>
      <c r="FA23" s="397"/>
      <c r="FB23" s="397"/>
      <c r="FC23" s="397"/>
      <c r="FD23" s="397"/>
      <c r="FE23" s="397"/>
      <c r="FF23" s="397"/>
      <c r="FG23" s="397"/>
      <c r="FH23" s="397"/>
      <c r="FI23" s="397"/>
      <c r="FJ23" s="397">
        <f>AO23*2.3-AO23</f>
        <v>40912.82</v>
      </c>
      <c r="FK23" s="397"/>
      <c r="FL23" s="397"/>
      <c r="FM23" s="397"/>
      <c r="FN23" s="397"/>
      <c r="FO23" s="397"/>
      <c r="FP23" s="397"/>
      <c r="FQ23" s="397"/>
      <c r="FR23" s="397"/>
      <c r="FS23" s="397"/>
      <c r="FT23" s="397"/>
      <c r="FU23" s="397"/>
      <c r="FV23" s="397"/>
      <c r="FW23" s="397"/>
      <c r="FX23" s="397"/>
      <c r="FY23" s="397"/>
      <c r="FZ23" s="398">
        <f>(((AO23+FJ23)*Y23)*12)</f>
        <v>868610.64</v>
      </c>
      <c r="GA23" s="398"/>
      <c r="GB23" s="398"/>
      <c r="GC23" s="398"/>
      <c r="GD23" s="398"/>
      <c r="GE23" s="398"/>
      <c r="GF23" s="398"/>
      <c r="GG23" s="398"/>
      <c r="GH23" s="398"/>
      <c r="GI23" s="398"/>
      <c r="GJ23" s="398"/>
      <c r="GK23" s="398"/>
      <c r="GL23" s="398"/>
      <c r="GM23" s="398"/>
      <c r="GN23" s="398"/>
      <c r="GO23" s="398"/>
      <c r="GP23" s="398"/>
      <c r="GQ23" s="300">
        <f>(77584.22-5200)*12</f>
        <v>868610.64</v>
      </c>
      <c r="GR23" s="275">
        <f t="shared" si="1"/>
        <v>0</v>
      </c>
      <c r="GS23" s="275">
        <f t="shared" si="2"/>
        <v>0</v>
      </c>
      <c r="GT23" s="275">
        <f t="shared" si="3"/>
        <v>0</v>
      </c>
      <c r="GU23" s="275"/>
      <c r="GV23" s="275"/>
      <c r="GW23" s="275"/>
      <c r="GX23" s="275"/>
      <c r="GY23" s="399"/>
      <c r="GZ23" s="400"/>
      <c r="HA23" s="401"/>
      <c r="HB23" s="275"/>
      <c r="HC23" s="275"/>
    </row>
    <row r="24" spans="1:211" s="274" customFormat="1" ht="32.1" customHeight="1">
      <c r="A24" s="389">
        <v>4</v>
      </c>
      <c r="B24" s="389"/>
      <c r="C24" s="389"/>
      <c r="D24" s="389"/>
      <c r="E24" s="389"/>
      <c r="F24" s="389"/>
      <c r="G24" s="393" t="s">
        <v>314</v>
      </c>
      <c r="H24" s="393"/>
      <c r="I24" s="393"/>
      <c r="J24" s="393"/>
      <c r="K24" s="393"/>
      <c r="L24" s="393"/>
      <c r="M24" s="393"/>
      <c r="N24" s="393"/>
      <c r="O24" s="393"/>
      <c r="P24" s="393"/>
      <c r="Q24" s="393"/>
      <c r="R24" s="393"/>
      <c r="S24" s="393"/>
      <c r="T24" s="393"/>
      <c r="U24" s="393"/>
      <c r="V24" s="393"/>
      <c r="W24" s="393"/>
      <c r="X24" s="393"/>
      <c r="Y24" s="402">
        <v>21</v>
      </c>
      <c r="Z24" s="402"/>
      <c r="AA24" s="402"/>
      <c r="AB24" s="402"/>
      <c r="AC24" s="402"/>
      <c r="AD24" s="402"/>
      <c r="AE24" s="402"/>
      <c r="AF24" s="402"/>
      <c r="AG24" s="402"/>
      <c r="AH24" s="402"/>
      <c r="AI24" s="402"/>
      <c r="AJ24" s="402"/>
      <c r="AK24" s="402"/>
      <c r="AL24" s="402"/>
      <c r="AM24" s="402"/>
      <c r="AN24" s="402"/>
      <c r="AO24" s="397">
        <f>BF24+BX24+CP24+DH24+ER24</f>
        <v>660900.44999999995</v>
      </c>
      <c r="AP24" s="397"/>
      <c r="AQ24" s="397"/>
      <c r="AR24" s="397"/>
      <c r="AS24" s="397"/>
      <c r="AT24" s="397"/>
      <c r="AU24" s="397"/>
      <c r="AV24" s="397"/>
      <c r="AW24" s="397"/>
      <c r="AX24" s="397"/>
      <c r="AY24" s="397"/>
      <c r="AZ24" s="397"/>
      <c r="BA24" s="397"/>
      <c r="BB24" s="397"/>
      <c r="BC24" s="397"/>
      <c r="BD24" s="397"/>
      <c r="BE24" s="397"/>
      <c r="BF24" s="397">
        <v>187110</v>
      </c>
      <c r="BG24" s="397"/>
      <c r="BH24" s="397"/>
      <c r="BI24" s="397"/>
      <c r="BJ24" s="397"/>
      <c r="BK24" s="397"/>
      <c r="BL24" s="397"/>
      <c r="BM24" s="397"/>
      <c r="BN24" s="397"/>
      <c r="BO24" s="397"/>
      <c r="BP24" s="397"/>
      <c r="BQ24" s="397"/>
      <c r="BR24" s="397"/>
      <c r="BS24" s="397"/>
      <c r="BT24" s="397"/>
      <c r="BU24" s="397"/>
      <c r="BV24" s="397"/>
      <c r="BW24" s="397"/>
      <c r="BX24" s="397">
        <f>BF24*25%</f>
        <v>46777.5</v>
      </c>
      <c r="BY24" s="397"/>
      <c r="BZ24" s="397"/>
      <c r="CA24" s="397"/>
      <c r="CB24" s="397"/>
      <c r="CC24" s="397"/>
      <c r="CD24" s="397"/>
      <c r="CE24" s="397"/>
      <c r="CF24" s="397"/>
      <c r="CG24" s="397"/>
      <c r="CH24" s="397"/>
      <c r="CI24" s="397"/>
      <c r="CJ24" s="397"/>
      <c r="CK24" s="397"/>
      <c r="CL24" s="397"/>
      <c r="CM24" s="397"/>
      <c r="CN24" s="397"/>
      <c r="CO24" s="397"/>
      <c r="CP24" s="397">
        <v>9289.5</v>
      </c>
      <c r="CQ24" s="397"/>
      <c r="CR24" s="397"/>
      <c r="CS24" s="397"/>
      <c r="CT24" s="397"/>
      <c r="CU24" s="397"/>
      <c r="CV24" s="397"/>
      <c r="CW24" s="397"/>
      <c r="CX24" s="397"/>
      <c r="CY24" s="397"/>
      <c r="CZ24" s="397"/>
      <c r="DA24" s="397"/>
      <c r="DB24" s="397"/>
      <c r="DC24" s="397"/>
      <c r="DD24" s="397"/>
      <c r="DE24" s="397"/>
      <c r="DF24" s="397"/>
      <c r="DG24" s="397"/>
      <c r="DH24" s="397">
        <v>7128</v>
      </c>
      <c r="DI24" s="397"/>
      <c r="DJ24" s="397"/>
      <c r="DK24" s="397"/>
      <c r="DL24" s="397"/>
      <c r="DM24" s="397"/>
      <c r="DN24" s="397"/>
      <c r="DO24" s="397"/>
      <c r="DP24" s="397"/>
      <c r="DQ24" s="397"/>
      <c r="DR24" s="397"/>
      <c r="DS24" s="397"/>
      <c r="DT24" s="397"/>
      <c r="DU24" s="397"/>
      <c r="DV24" s="397"/>
      <c r="DW24" s="397"/>
      <c r="DX24" s="397"/>
      <c r="DY24" s="397"/>
      <c r="DZ24" s="397"/>
      <c r="EA24" s="397"/>
      <c r="EB24" s="397"/>
      <c r="EC24" s="397"/>
      <c r="ED24" s="397"/>
      <c r="EE24" s="397"/>
      <c r="EF24" s="397"/>
      <c r="EG24" s="397"/>
      <c r="EH24" s="397"/>
      <c r="EI24" s="397"/>
      <c r="EJ24" s="397"/>
      <c r="EK24" s="397"/>
      <c r="EL24" s="397"/>
      <c r="EM24" s="397"/>
      <c r="EN24" s="397"/>
      <c r="EO24" s="397"/>
      <c r="EP24" s="397"/>
      <c r="EQ24" s="397"/>
      <c r="ER24" s="397">
        <f>283253.9+100000+27341.55</f>
        <v>410595.45</v>
      </c>
      <c r="ES24" s="397"/>
      <c r="ET24" s="397"/>
      <c r="EU24" s="397"/>
      <c r="EV24" s="397"/>
      <c r="EW24" s="397"/>
      <c r="EX24" s="397"/>
      <c r="EY24" s="397"/>
      <c r="EZ24" s="397"/>
      <c r="FA24" s="397"/>
      <c r="FB24" s="397"/>
      <c r="FC24" s="397"/>
      <c r="FD24" s="397"/>
      <c r="FE24" s="397"/>
      <c r="FF24" s="397"/>
      <c r="FG24" s="397"/>
      <c r="FH24" s="397"/>
      <c r="FI24" s="397"/>
      <c r="FJ24" s="397">
        <f>AO24*2.3-AO24</f>
        <v>859170.58499999973</v>
      </c>
      <c r="FK24" s="397"/>
      <c r="FL24" s="397"/>
      <c r="FM24" s="397"/>
      <c r="FN24" s="397"/>
      <c r="FO24" s="397"/>
      <c r="FP24" s="397"/>
      <c r="FQ24" s="397"/>
      <c r="FR24" s="397"/>
      <c r="FS24" s="397"/>
      <c r="FT24" s="397"/>
      <c r="FU24" s="397"/>
      <c r="FV24" s="397"/>
      <c r="FW24" s="397"/>
      <c r="FX24" s="397"/>
      <c r="FY24" s="397"/>
      <c r="FZ24" s="398">
        <f>(AO24+FJ24)*12+0.87</f>
        <v>18240853.289999995</v>
      </c>
      <c r="GA24" s="398"/>
      <c r="GB24" s="398"/>
      <c r="GC24" s="398"/>
      <c r="GD24" s="398"/>
      <c r="GE24" s="398"/>
      <c r="GF24" s="398"/>
      <c r="GG24" s="398"/>
      <c r="GH24" s="398"/>
      <c r="GI24" s="398"/>
      <c r="GJ24" s="398"/>
      <c r="GK24" s="398"/>
      <c r="GL24" s="398"/>
      <c r="GM24" s="398"/>
      <c r="GN24" s="398"/>
      <c r="GO24" s="398"/>
      <c r="GP24" s="398"/>
      <c r="GQ24" s="300">
        <f>19109463.12-GQ23</f>
        <v>18240852.48</v>
      </c>
      <c r="GR24" s="275">
        <f t="shared" si="1"/>
        <v>-0.80999999493360519</v>
      </c>
      <c r="GS24" s="275">
        <f t="shared" si="2"/>
        <v>-6.7499999577800437E-2</v>
      </c>
      <c r="GT24" s="275">
        <f t="shared" si="3"/>
        <v>-2.9347825903391498E-2</v>
      </c>
      <c r="GU24" s="275"/>
      <c r="GV24" s="275"/>
      <c r="GW24" s="275"/>
      <c r="GX24" s="275"/>
      <c r="GY24" s="399"/>
      <c r="GZ24" s="400"/>
      <c r="HA24" s="401"/>
      <c r="HB24" s="275"/>
      <c r="HC24" s="275"/>
    </row>
    <row r="25" spans="1:211" s="274" customFormat="1" ht="48" customHeight="1">
      <c r="A25" s="389">
        <v>5</v>
      </c>
      <c r="B25" s="389"/>
      <c r="C25" s="389"/>
      <c r="D25" s="389"/>
      <c r="E25" s="389"/>
      <c r="F25" s="389"/>
      <c r="G25" s="393" t="s">
        <v>315</v>
      </c>
      <c r="H25" s="393"/>
      <c r="I25" s="393"/>
      <c r="J25" s="393"/>
      <c r="K25" s="393"/>
      <c r="L25" s="393"/>
      <c r="M25" s="393"/>
      <c r="N25" s="393"/>
      <c r="O25" s="393"/>
      <c r="P25" s="393"/>
      <c r="Q25" s="393"/>
      <c r="R25" s="393"/>
      <c r="S25" s="393"/>
      <c r="T25" s="393"/>
      <c r="U25" s="393"/>
      <c r="V25" s="393"/>
      <c r="W25" s="393"/>
      <c r="X25" s="393"/>
      <c r="Y25" s="402">
        <v>17.600000000000001</v>
      </c>
      <c r="Z25" s="402"/>
      <c r="AA25" s="402"/>
      <c r="AB25" s="402"/>
      <c r="AC25" s="402"/>
      <c r="AD25" s="402"/>
      <c r="AE25" s="402"/>
      <c r="AF25" s="402"/>
      <c r="AG25" s="402"/>
      <c r="AH25" s="402"/>
      <c r="AI25" s="402"/>
      <c r="AJ25" s="402"/>
      <c r="AK25" s="402"/>
      <c r="AL25" s="402"/>
      <c r="AM25" s="402"/>
      <c r="AN25" s="402"/>
      <c r="AO25" s="397">
        <f>BF25+BX25+CP25+DH25+ER25+DZ25</f>
        <v>274334.74428571429</v>
      </c>
      <c r="AP25" s="397"/>
      <c r="AQ25" s="397"/>
      <c r="AR25" s="397"/>
      <c r="AS25" s="397"/>
      <c r="AT25" s="397"/>
      <c r="AU25" s="397"/>
      <c r="AV25" s="397"/>
      <c r="AW25" s="397"/>
      <c r="AX25" s="397"/>
      <c r="AY25" s="397"/>
      <c r="AZ25" s="397"/>
      <c r="BA25" s="397"/>
      <c r="BB25" s="397"/>
      <c r="BC25" s="397"/>
      <c r="BD25" s="397"/>
      <c r="BE25" s="397"/>
      <c r="BF25" s="397">
        <v>96782.399999999994</v>
      </c>
      <c r="BG25" s="397"/>
      <c r="BH25" s="397"/>
      <c r="BI25" s="397"/>
      <c r="BJ25" s="397"/>
      <c r="BK25" s="397"/>
      <c r="BL25" s="397"/>
      <c r="BM25" s="397"/>
      <c r="BN25" s="397"/>
      <c r="BO25" s="397"/>
      <c r="BP25" s="397"/>
      <c r="BQ25" s="397"/>
      <c r="BR25" s="397"/>
      <c r="BS25" s="397"/>
      <c r="BT25" s="397"/>
      <c r="BU25" s="397"/>
      <c r="BV25" s="397"/>
      <c r="BW25" s="397"/>
      <c r="BX25" s="397">
        <f>BF25*25%</f>
        <v>24195.599999999999</v>
      </c>
      <c r="BY25" s="397"/>
      <c r="BZ25" s="397"/>
      <c r="CA25" s="397"/>
      <c r="CB25" s="397"/>
      <c r="CC25" s="397"/>
      <c r="CD25" s="397"/>
      <c r="CE25" s="397"/>
      <c r="CF25" s="397"/>
      <c r="CG25" s="397"/>
      <c r="CH25" s="397"/>
      <c r="CI25" s="397"/>
      <c r="CJ25" s="397"/>
      <c r="CK25" s="397"/>
      <c r="CL25" s="397"/>
      <c r="CM25" s="397"/>
      <c r="CN25" s="397"/>
      <c r="CO25" s="397"/>
      <c r="CP25" s="397"/>
      <c r="CQ25" s="397"/>
      <c r="CR25" s="397"/>
      <c r="CS25" s="397"/>
      <c r="CT25" s="397"/>
      <c r="CU25" s="397"/>
      <c r="CV25" s="397"/>
      <c r="CW25" s="397"/>
      <c r="CX25" s="397"/>
      <c r="CY25" s="397"/>
      <c r="CZ25" s="397"/>
      <c r="DA25" s="397"/>
      <c r="DB25" s="397"/>
      <c r="DC25" s="397"/>
      <c r="DD25" s="397"/>
      <c r="DE25" s="397"/>
      <c r="DF25" s="397"/>
      <c r="DG25" s="397"/>
      <c r="DH25" s="397"/>
      <c r="DI25" s="397"/>
      <c r="DJ25" s="397"/>
      <c r="DK25" s="397"/>
      <c r="DL25" s="397"/>
      <c r="DM25" s="397"/>
      <c r="DN25" s="397"/>
      <c r="DO25" s="397"/>
      <c r="DP25" s="397"/>
      <c r="DQ25" s="397"/>
      <c r="DR25" s="397"/>
      <c r="DS25" s="397"/>
      <c r="DT25" s="397"/>
      <c r="DU25" s="397"/>
      <c r="DV25" s="397"/>
      <c r="DW25" s="397"/>
      <c r="DX25" s="397"/>
      <c r="DY25" s="397"/>
      <c r="DZ25" s="397">
        <f>140959.2-66686.94-46939.13+30000+27000+1500</f>
        <v>85833.13</v>
      </c>
      <c r="EA25" s="397"/>
      <c r="EB25" s="397"/>
      <c r="EC25" s="397"/>
      <c r="ED25" s="397"/>
      <c r="EE25" s="397"/>
      <c r="EF25" s="397"/>
      <c r="EG25" s="397"/>
      <c r="EH25" s="397"/>
      <c r="EI25" s="397"/>
      <c r="EJ25" s="397"/>
      <c r="EK25" s="397"/>
      <c r="EL25" s="397"/>
      <c r="EM25" s="397"/>
      <c r="EN25" s="397"/>
      <c r="EO25" s="397"/>
      <c r="EP25" s="397"/>
      <c r="EQ25" s="397"/>
      <c r="ER25" s="397">
        <f>(BF25+BX25+CP25+DH25)*30%/70%+10000+3700+1975.9</f>
        <v>67523.614285714284</v>
      </c>
      <c r="ES25" s="397"/>
      <c r="ET25" s="397"/>
      <c r="EU25" s="397"/>
      <c r="EV25" s="397"/>
      <c r="EW25" s="397"/>
      <c r="EX25" s="397"/>
      <c r="EY25" s="397"/>
      <c r="EZ25" s="397"/>
      <c r="FA25" s="397"/>
      <c r="FB25" s="397"/>
      <c r="FC25" s="397"/>
      <c r="FD25" s="397"/>
      <c r="FE25" s="397"/>
      <c r="FF25" s="397"/>
      <c r="FG25" s="397"/>
      <c r="FH25" s="397"/>
      <c r="FI25" s="397"/>
      <c r="FJ25" s="397">
        <f>AO25*2.3-AO25</f>
        <v>356635.16757142852</v>
      </c>
      <c r="FK25" s="397"/>
      <c r="FL25" s="397"/>
      <c r="FM25" s="397"/>
      <c r="FN25" s="397"/>
      <c r="FO25" s="397"/>
      <c r="FP25" s="397"/>
      <c r="FQ25" s="397"/>
      <c r="FR25" s="397"/>
      <c r="FS25" s="397"/>
      <c r="FT25" s="397"/>
      <c r="FU25" s="397"/>
      <c r="FV25" s="397"/>
      <c r="FW25" s="397"/>
      <c r="FX25" s="397"/>
      <c r="FY25" s="397"/>
      <c r="FZ25" s="398">
        <f>(AO25+FJ25)*12+0.14</f>
        <v>7571639.0822857134</v>
      </c>
      <c r="GA25" s="398"/>
      <c r="GB25" s="398"/>
      <c r="GC25" s="398"/>
      <c r="GD25" s="398"/>
      <c r="GE25" s="398"/>
      <c r="GF25" s="398"/>
      <c r="GG25" s="398"/>
      <c r="GH25" s="398"/>
      <c r="GI25" s="398"/>
      <c r="GJ25" s="398"/>
      <c r="GK25" s="398"/>
      <c r="GL25" s="398"/>
      <c r="GM25" s="398"/>
      <c r="GN25" s="398"/>
      <c r="GO25" s="398"/>
      <c r="GP25" s="398"/>
      <c r="GQ25" s="300">
        <f>(GR12*17.6)*12</f>
        <v>9347078.4000000004</v>
      </c>
      <c r="GR25" s="275">
        <f t="shared" si="1"/>
        <v>1775439.317714287</v>
      </c>
      <c r="GS25" s="275">
        <f t="shared" si="2"/>
        <v>147953.27647619057</v>
      </c>
      <c r="GT25" s="275">
        <f t="shared" si="3"/>
        <v>64327.511511387209</v>
      </c>
      <c r="GU25" s="275"/>
      <c r="GV25" s="275"/>
      <c r="GW25" s="275"/>
      <c r="GX25" s="275"/>
      <c r="GY25" s="399"/>
      <c r="GZ25" s="400"/>
      <c r="HA25" s="401"/>
      <c r="HB25" s="275"/>
      <c r="HC25" s="275"/>
    </row>
    <row r="26" spans="1:211" s="278" customFormat="1" ht="25.5" customHeight="1">
      <c r="A26" s="355" t="s">
        <v>310</v>
      </c>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96">
        <f>SUM(Y21:AN25)</f>
        <v>49.35</v>
      </c>
      <c r="Z26" s="358"/>
      <c r="AA26" s="358"/>
      <c r="AB26" s="358"/>
      <c r="AC26" s="358"/>
      <c r="AD26" s="358"/>
      <c r="AE26" s="358"/>
      <c r="AF26" s="358"/>
      <c r="AG26" s="358"/>
      <c r="AH26" s="358"/>
      <c r="AI26" s="358"/>
      <c r="AJ26" s="358"/>
      <c r="AK26" s="358"/>
      <c r="AL26" s="358"/>
      <c r="AM26" s="358"/>
      <c r="AN26" s="358"/>
      <c r="AO26" s="394">
        <f>SUM(AO21:BE25)</f>
        <v>1214549.5292857143</v>
      </c>
      <c r="AP26" s="394"/>
      <c r="AQ26" s="394"/>
      <c r="AR26" s="394"/>
      <c r="AS26" s="394"/>
      <c r="AT26" s="394"/>
      <c r="AU26" s="394"/>
      <c r="AV26" s="394"/>
      <c r="AW26" s="394"/>
      <c r="AX26" s="394"/>
      <c r="AY26" s="394"/>
      <c r="AZ26" s="394"/>
      <c r="BA26" s="394"/>
      <c r="BB26" s="394"/>
      <c r="BC26" s="394"/>
      <c r="BD26" s="394"/>
      <c r="BE26" s="394"/>
      <c r="BF26" s="394">
        <f>SUM(BF21:BW25)</f>
        <v>379888.9</v>
      </c>
      <c r="BG26" s="394"/>
      <c r="BH26" s="394"/>
      <c r="BI26" s="394"/>
      <c r="BJ26" s="394"/>
      <c r="BK26" s="394"/>
      <c r="BL26" s="394"/>
      <c r="BM26" s="394"/>
      <c r="BN26" s="394"/>
      <c r="BO26" s="394"/>
      <c r="BP26" s="394"/>
      <c r="BQ26" s="394"/>
      <c r="BR26" s="394"/>
      <c r="BS26" s="394"/>
      <c r="BT26" s="394"/>
      <c r="BU26" s="394"/>
      <c r="BV26" s="394"/>
      <c r="BW26" s="394"/>
      <c r="BX26" s="394">
        <f>SUM(BX21:BX25)</f>
        <v>94972.225000000006</v>
      </c>
      <c r="BY26" s="394"/>
      <c r="BZ26" s="394"/>
      <c r="CA26" s="394"/>
      <c r="CB26" s="394"/>
      <c r="CC26" s="394"/>
      <c r="CD26" s="394"/>
      <c r="CE26" s="394"/>
      <c r="CF26" s="394"/>
      <c r="CG26" s="394"/>
      <c r="CH26" s="394"/>
      <c r="CI26" s="394"/>
      <c r="CJ26" s="394"/>
      <c r="CK26" s="394"/>
      <c r="CL26" s="394"/>
      <c r="CM26" s="394"/>
      <c r="CN26" s="394"/>
      <c r="CO26" s="394"/>
      <c r="CP26" s="394">
        <f>SUM(CP21:CP25)</f>
        <v>14103.03</v>
      </c>
      <c r="CQ26" s="394"/>
      <c r="CR26" s="394"/>
      <c r="CS26" s="394"/>
      <c r="CT26" s="394"/>
      <c r="CU26" s="394"/>
      <c r="CV26" s="394"/>
      <c r="CW26" s="394"/>
      <c r="CX26" s="394"/>
      <c r="CY26" s="394"/>
      <c r="CZ26" s="394"/>
      <c r="DA26" s="394"/>
      <c r="DB26" s="394"/>
      <c r="DC26" s="394"/>
      <c r="DD26" s="394"/>
      <c r="DE26" s="394"/>
      <c r="DF26" s="394"/>
      <c r="DG26" s="394"/>
      <c r="DH26" s="394">
        <f>SUM(DH21:DH25)</f>
        <v>16213.8</v>
      </c>
      <c r="DI26" s="394"/>
      <c r="DJ26" s="394"/>
      <c r="DK26" s="394"/>
      <c r="DL26" s="394"/>
      <c r="DM26" s="394"/>
      <c r="DN26" s="394"/>
      <c r="DO26" s="394"/>
      <c r="DP26" s="394"/>
      <c r="DQ26" s="394"/>
      <c r="DR26" s="394"/>
      <c r="DS26" s="394"/>
      <c r="DT26" s="394"/>
      <c r="DU26" s="394"/>
      <c r="DV26" s="394"/>
      <c r="DW26" s="394"/>
      <c r="DX26" s="394"/>
      <c r="DY26" s="394"/>
      <c r="DZ26" s="394">
        <f>SUM(DZ21:DZ25)</f>
        <v>85833.13</v>
      </c>
      <c r="EA26" s="394"/>
      <c r="EB26" s="394"/>
      <c r="EC26" s="394"/>
      <c r="ED26" s="394"/>
      <c r="EE26" s="394"/>
      <c r="EF26" s="394"/>
      <c r="EG26" s="394"/>
      <c r="EH26" s="394"/>
      <c r="EI26" s="394"/>
      <c r="EJ26" s="394"/>
      <c r="EK26" s="394"/>
      <c r="EL26" s="394"/>
      <c r="EM26" s="394"/>
      <c r="EN26" s="394"/>
      <c r="EO26" s="394"/>
      <c r="EP26" s="394"/>
      <c r="EQ26" s="394"/>
      <c r="ER26" s="394">
        <f>SUM(ER21:FI25)</f>
        <v>623538.4442857143</v>
      </c>
      <c r="ES26" s="394"/>
      <c r="ET26" s="394"/>
      <c r="EU26" s="394"/>
      <c r="EV26" s="394"/>
      <c r="EW26" s="394"/>
      <c r="EX26" s="394"/>
      <c r="EY26" s="394"/>
      <c r="EZ26" s="394"/>
      <c r="FA26" s="394"/>
      <c r="FB26" s="394"/>
      <c r="FC26" s="394"/>
      <c r="FD26" s="394"/>
      <c r="FE26" s="394"/>
      <c r="FF26" s="394"/>
      <c r="FG26" s="394"/>
      <c r="FH26" s="394"/>
      <c r="FI26" s="394"/>
      <c r="FJ26" s="394">
        <f>SUM(FJ21:FJ25)</f>
        <v>1578914.3880714281</v>
      </c>
      <c r="FK26" s="394"/>
      <c r="FL26" s="394"/>
      <c r="FM26" s="394"/>
      <c r="FN26" s="394"/>
      <c r="FO26" s="394"/>
      <c r="FP26" s="394"/>
      <c r="FQ26" s="394"/>
      <c r="FR26" s="394"/>
      <c r="FS26" s="394"/>
      <c r="FT26" s="394"/>
      <c r="FU26" s="394"/>
      <c r="FV26" s="394"/>
      <c r="FW26" s="394"/>
      <c r="FX26" s="394"/>
      <c r="FY26" s="394"/>
      <c r="FZ26" s="395">
        <f>SUM(FZ21:FZ25)+0.04-0.1+0.05</f>
        <v>33521567.838285707</v>
      </c>
      <c r="GA26" s="395"/>
      <c r="GB26" s="395"/>
      <c r="GC26" s="395"/>
      <c r="GD26" s="395"/>
      <c r="GE26" s="395"/>
      <c r="GF26" s="395"/>
      <c r="GG26" s="395"/>
      <c r="GH26" s="395"/>
      <c r="GI26" s="395"/>
      <c r="GJ26" s="395"/>
      <c r="GK26" s="395"/>
      <c r="GL26" s="395"/>
      <c r="GM26" s="395"/>
      <c r="GN26" s="395"/>
      <c r="GO26" s="395"/>
      <c r="GP26" s="395"/>
      <c r="GQ26" s="276"/>
      <c r="GR26" s="277"/>
      <c r="GS26" s="277"/>
      <c r="GT26" s="277"/>
      <c r="GU26" s="277"/>
    </row>
    <row r="27" spans="1:211" s="278" customFormat="1" ht="24.75" customHeight="1">
      <c r="A27" s="355" t="s">
        <v>316</v>
      </c>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96">
        <f>Y20+Y26</f>
        <v>68.349999999999994</v>
      </c>
      <c r="Z27" s="358"/>
      <c r="AA27" s="358"/>
      <c r="AB27" s="358"/>
      <c r="AC27" s="358"/>
      <c r="AD27" s="358"/>
      <c r="AE27" s="358"/>
      <c r="AF27" s="358"/>
      <c r="AG27" s="358"/>
      <c r="AH27" s="358"/>
      <c r="AI27" s="358"/>
      <c r="AJ27" s="358"/>
      <c r="AK27" s="358"/>
      <c r="AL27" s="358"/>
      <c r="AM27" s="358"/>
      <c r="AN27" s="358"/>
      <c r="AO27" s="394">
        <f>AO20+AO26</f>
        <v>1649525.0121428571</v>
      </c>
      <c r="AP27" s="394"/>
      <c r="AQ27" s="394"/>
      <c r="AR27" s="394"/>
      <c r="AS27" s="394"/>
      <c r="AT27" s="394"/>
      <c r="AU27" s="394"/>
      <c r="AV27" s="394"/>
      <c r="AW27" s="394"/>
      <c r="AX27" s="394"/>
      <c r="AY27" s="394"/>
      <c r="AZ27" s="394"/>
      <c r="BA27" s="394"/>
      <c r="BB27" s="394"/>
      <c r="BC27" s="394"/>
      <c r="BD27" s="394"/>
      <c r="BE27" s="394"/>
      <c r="BF27" s="394">
        <f>BF20+BF26</f>
        <v>484866.4</v>
      </c>
      <c r="BG27" s="394"/>
      <c r="BH27" s="394"/>
      <c r="BI27" s="394"/>
      <c r="BJ27" s="394"/>
      <c r="BK27" s="394"/>
      <c r="BL27" s="394"/>
      <c r="BM27" s="394"/>
      <c r="BN27" s="394"/>
      <c r="BO27" s="394"/>
      <c r="BP27" s="394"/>
      <c r="BQ27" s="394"/>
      <c r="BR27" s="394"/>
      <c r="BS27" s="394"/>
      <c r="BT27" s="394"/>
      <c r="BU27" s="394"/>
      <c r="BV27" s="394"/>
      <c r="BW27" s="394"/>
      <c r="BX27" s="394">
        <f>BX20+BX26</f>
        <v>107771.35</v>
      </c>
      <c r="BY27" s="394"/>
      <c r="BZ27" s="394"/>
      <c r="CA27" s="394"/>
      <c r="CB27" s="394"/>
      <c r="CC27" s="394"/>
      <c r="CD27" s="394"/>
      <c r="CE27" s="394"/>
      <c r="CF27" s="394"/>
      <c r="CG27" s="394"/>
      <c r="CH27" s="394"/>
      <c r="CI27" s="394"/>
      <c r="CJ27" s="394"/>
      <c r="CK27" s="394"/>
      <c r="CL27" s="394"/>
      <c r="CM27" s="394"/>
      <c r="CN27" s="394"/>
      <c r="CO27" s="394"/>
      <c r="CP27" s="394">
        <f>CP20+CP26</f>
        <v>14103.03</v>
      </c>
      <c r="CQ27" s="394"/>
      <c r="CR27" s="394"/>
      <c r="CS27" s="394"/>
      <c r="CT27" s="394"/>
      <c r="CU27" s="394"/>
      <c r="CV27" s="394"/>
      <c r="CW27" s="394"/>
      <c r="CX27" s="394"/>
      <c r="CY27" s="394"/>
      <c r="CZ27" s="394"/>
      <c r="DA27" s="394"/>
      <c r="DB27" s="394"/>
      <c r="DC27" s="394"/>
      <c r="DD27" s="394"/>
      <c r="DE27" s="394"/>
      <c r="DF27" s="394"/>
      <c r="DG27" s="394"/>
      <c r="DH27" s="394">
        <f>DH20+DH26</f>
        <v>17038.079999999998</v>
      </c>
      <c r="DI27" s="394"/>
      <c r="DJ27" s="394"/>
      <c r="DK27" s="394"/>
      <c r="DL27" s="394"/>
      <c r="DM27" s="394"/>
      <c r="DN27" s="394"/>
      <c r="DO27" s="394"/>
      <c r="DP27" s="394"/>
      <c r="DQ27" s="394"/>
      <c r="DR27" s="394"/>
      <c r="DS27" s="394"/>
      <c r="DT27" s="394"/>
      <c r="DU27" s="394"/>
      <c r="DV27" s="394"/>
      <c r="DW27" s="394"/>
      <c r="DX27" s="394"/>
      <c r="DY27" s="394"/>
      <c r="DZ27" s="394">
        <f>DZ20+DZ26</f>
        <v>250126.43000000002</v>
      </c>
      <c r="EA27" s="394"/>
      <c r="EB27" s="394"/>
      <c r="EC27" s="394"/>
      <c r="ED27" s="394"/>
      <c r="EE27" s="394"/>
      <c r="EF27" s="394"/>
      <c r="EG27" s="394"/>
      <c r="EH27" s="394"/>
      <c r="EI27" s="394"/>
      <c r="EJ27" s="394"/>
      <c r="EK27" s="394"/>
      <c r="EL27" s="394"/>
      <c r="EM27" s="394"/>
      <c r="EN27" s="394"/>
      <c r="EO27" s="394"/>
      <c r="EP27" s="394"/>
      <c r="EQ27" s="394"/>
      <c r="ER27" s="394">
        <f>ER20+ER26</f>
        <v>775876.80214285711</v>
      </c>
      <c r="ES27" s="394"/>
      <c r="ET27" s="394"/>
      <c r="EU27" s="394"/>
      <c r="EV27" s="394"/>
      <c r="EW27" s="394"/>
      <c r="EX27" s="394"/>
      <c r="EY27" s="394"/>
      <c r="EZ27" s="394"/>
      <c r="FA27" s="394"/>
      <c r="FB27" s="394"/>
      <c r="FC27" s="394"/>
      <c r="FD27" s="394"/>
      <c r="FE27" s="394"/>
      <c r="FF27" s="394"/>
      <c r="FG27" s="394"/>
      <c r="FH27" s="394"/>
      <c r="FI27" s="394"/>
      <c r="FJ27" s="394">
        <f>FJ20+FJ26</f>
        <v>2144382.5157857137</v>
      </c>
      <c r="FK27" s="394"/>
      <c r="FL27" s="394"/>
      <c r="FM27" s="394"/>
      <c r="FN27" s="394"/>
      <c r="FO27" s="394"/>
      <c r="FP27" s="394"/>
      <c r="FQ27" s="394"/>
      <c r="FR27" s="394"/>
      <c r="FS27" s="394"/>
      <c r="FT27" s="394"/>
      <c r="FU27" s="394"/>
      <c r="FV27" s="394"/>
      <c r="FW27" s="394"/>
      <c r="FX27" s="394"/>
      <c r="FY27" s="394"/>
      <c r="FZ27" s="395">
        <f>FZ20+FZ26</f>
        <v>45526891.755142853</v>
      </c>
      <c r="GA27" s="395"/>
      <c r="GB27" s="395"/>
      <c r="GC27" s="395"/>
      <c r="GD27" s="395"/>
      <c r="GE27" s="395"/>
      <c r="GF27" s="395"/>
      <c r="GG27" s="395"/>
      <c r="GH27" s="395"/>
      <c r="GI27" s="395"/>
      <c r="GJ27" s="395"/>
      <c r="GK27" s="395"/>
      <c r="GL27" s="395"/>
      <c r="GM27" s="395"/>
      <c r="GN27" s="395"/>
      <c r="GO27" s="395"/>
      <c r="GP27" s="395"/>
      <c r="GQ27" s="279"/>
      <c r="GR27" s="277"/>
      <c r="GS27" s="277"/>
      <c r="GT27" s="277"/>
      <c r="GU27" s="277"/>
    </row>
    <row r="28" spans="1:211" s="278" customFormat="1" ht="2.25" hidden="1" customHeight="1">
      <c r="A28" s="375" t="s">
        <v>317</v>
      </c>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6">
        <f>FZ27</f>
        <v>45526891.755142853</v>
      </c>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80"/>
      <c r="FK28" s="280"/>
      <c r="FL28" s="280"/>
      <c r="FM28" s="280"/>
      <c r="FN28" s="280"/>
      <c r="FO28" s="280"/>
      <c r="FP28" s="280"/>
      <c r="FQ28" s="280"/>
      <c r="FR28" s="280"/>
      <c r="FS28" s="280"/>
      <c r="FT28" s="280"/>
      <c r="FU28" s="280"/>
      <c r="FV28" s="280"/>
      <c r="FW28" s="280"/>
      <c r="FX28" s="280"/>
      <c r="FY28" s="280"/>
      <c r="FZ28" s="281"/>
      <c r="GA28" s="281"/>
      <c r="GB28" s="281"/>
      <c r="GC28" s="281"/>
      <c r="GD28" s="281"/>
      <c r="GE28" s="281"/>
      <c r="GF28" s="281"/>
      <c r="GG28" s="281"/>
      <c r="GH28" s="281"/>
      <c r="GI28" s="281"/>
      <c r="GJ28" s="281"/>
      <c r="GK28" s="281"/>
      <c r="GL28" s="281"/>
      <c r="GM28" s="281"/>
      <c r="GN28" s="281"/>
      <c r="GO28" s="281"/>
      <c r="GP28" s="281"/>
      <c r="GQ28" s="282"/>
      <c r="GR28" s="277"/>
      <c r="GS28" s="277"/>
      <c r="GT28" s="277"/>
      <c r="GU28" s="277"/>
    </row>
    <row r="29" spans="1:211" s="278" customFormat="1" ht="20.100000000000001" customHeight="1">
      <c r="A29" s="375" t="s">
        <v>318</v>
      </c>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6">
        <v>45526891.759999998</v>
      </c>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80"/>
      <c r="FK29" s="280"/>
      <c r="FL29" s="280"/>
      <c r="FM29" s="280"/>
      <c r="FN29" s="280"/>
      <c r="FO29" s="280"/>
      <c r="FP29" s="280"/>
      <c r="FQ29" s="280"/>
      <c r="FR29" s="280"/>
      <c r="FS29" s="280"/>
      <c r="FT29" s="280"/>
      <c r="FU29" s="280"/>
      <c r="FV29" s="280"/>
      <c r="FW29" s="280"/>
      <c r="FX29" s="280"/>
      <c r="FY29" s="280"/>
      <c r="FZ29" s="281"/>
      <c r="GA29" s="281"/>
      <c r="GB29" s="281"/>
      <c r="GC29" s="281"/>
      <c r="GD29" s="281"/>
      <c r="GE29" s="281"/>
      <c r="GF29" s="281"/>
      <c r="GG29" s="281"/>
      <c r="GH29" s="281"/>
      <c r="GI29" s="281"/>
      <c r="GJ29" s="281"/>
      <c r="GK29" s="281"/>
      <c r="GL29" s="281"/>
      <c r="GM29" s="281"/>
      <c r="GN29" s="281"/>
      <c r="GO29" s="281"/>
      <c r="GP29" s="281"/>
      <c r="GQ29" s="282"/>
      <c r="GR29" s="277"/>
      <c r="GS29" s="277"/>
      <c r="GT29" s="277"/>
      <c r="GU29" s="277"/>
    </row>
    <row r="30" spans="1:211" s="278" customFormat="1" ht="20.100000000000001" customHeight="1">
      <c r="A30" s="283"/>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4"/>
      <c r="Z30" s="284"/>
      <c r="AA30" s="284"/>
      <c r="AB30" s="284"/>
      <c r="AC30" s="284"/>
      <c r="AD30" s="284"/>
      <c r="AE30" s="284"/>
      <c r="AF30" s="284"/>
      <c r="AG30" s="284"/>
      <c r="AH30" s="284"/>
      <c r="AI30" s="284"/>
      <c r="AJ30" s="284"/>
      <c r="AK30" s="284"/>
      <c r="AL30" s="284"/>
      <c r="AM30" s="284"/>
      <c r="AN30" s="284"/>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c r="CB30" s="301"/>
      <c r="CC30" s="301"/>
      <c r="CD30" s="301"/>
      <c r="CE30" s="301"/>
      <c r="CF30" s="301"/>
      <c r="CG30" s="301"/>
      <c r="CH30" s="301"/>
      <c r="CI30" s="301"/>
      <c r="CJ30" s="301"/>
      <c r="CK30" s="301"/>
      <c r="CL30" s="301"/>
      <c r="CM30" s="301"/>
      <c r="CN30" s="301"/>
      <c r="CO30" s="301"/>
      <c r="CP30" s="301"/>
      <c r="CQ30" s="301"/>
      <c r="CR30" s="301"/>
      <c r="CS30" s="301"/>
      <c r="CT30" s="301"/>
      <c r="CU30" s="301"/>
      <c r="CV30" s="301"/>
      <c r="CW30" s="301"/>
      <c r="CX30" s="301"/>
      <c r="CY30" s="301"/>
      <c r="CZ30" s="301"/>
      <c r="DA30" s="301"/>
      <c r="DB30" s="301"/>
      <c r="DC30" s="301"/>
      <c r="DD30" s="301"/>
      <c r="DE30" s="301"/>
      <c r="DF30" s="301"/>
      <c r="DG30" s="301"/>
      <c r="DH30" s="301"/>
      <c r="DI30" s="301"/>
      <c r="DJ30" s="301"/>
      <c r="DK30" s="301"/>
      <c r="DL30" s="301"/>
      <c r="DM30" s="301"/>
      <c r="DN30" s="301"/>
      <c r="DO30" s="301"/>
      <c r="DP30" s="301"/>
      <c r="DQ30" s="301"/>
      <c r="DR30" s="301"/>
      <c r="DS30" s="301"/>
      <c r="DT30" s="301"/>
      <c r="DU30" s="301"/>
      <c r="DV30" s="301"/>
      <c r="DW30" s="301"/>
      <c r="DX30" s="301"/>
      <c r="DY30" s="301"/>
      <c r="DZ30" s="301"/>
      <c r="EA30" s="301"/>
      <c r="EB30" s="301"/>
      <c r="EC30" s="301"/>
      <c r="ED30" s="301"/>
      <c r="EE30" s="301"/>
      <c r="EF30" s="301"/>
      <c r="EG30" s="301"/>
      <c r="EH30" s="301"/>
      <c r="EI30" s="301"/>
      <c r="EJ30" s="301"/>
      <c r="EK30" s="301"/>
      <c r="EL30" s="301"/>
      <c r="EM30" s="301"/>
      <c r="EN30" s="301"/>
      <c r="EO30" s="301"/>
      <c r="EP30" s="301"/>
      <c r="EQ30" s="301"/>
      <c r="ER30" s="301"/>
      <c r="ES30" s="301"/>
      <c r="ET30" s="301"/>
      <c r="EU30" s="301"/>
      <c r="EV30" s="301"/>
      <c r="EW30" s="301"/>
      <c r="EX30" s="301"/>
      <c r="EY30" s="301"/>
      <c r="EZ30" s="301"/>
      <c r="FA30" s="301"/>
      <c r="FB30" s="301"/>
      <c r="FC30" s="301"/>
      <c r="FD30" s="301"/>
      <c r="FE30" s="301"/>
      <c r="FF30" s="301"/>
      <c r="FG30" s="301"/>
      <c r="FH30" s="301"/>
      <c r="FI30" s="301"/>
      <c r="FJ30" s="301"/>
      <c r="FK30" s="301"/>
      <c r="FL30" s="301"/>
      <c r="FM30" s="301"/>
      <c r="FN30" s="301"/>
      <c r="FO30" s="301"/>
      <c r="FP30" s="301"/>
      <c r="FQ30" s="301"/>
      <c r="FR30" s="301"/>
      <c r="FS30" s="301"/>
      <c r="FT30" s="301"/>
      <c r="FU30" s="301"/>
      <c r="FV30" s="301"/>
      <c r="FW30" s="301"/>
      <c r="FX30" s="301"/>
      <c r="FY30" s="301"/>
      <c r="FZ30" s="391"/>
      <c r="GA30" s="391"/>
      <c r="GB30" s="391"/>
      <c r="GC30" s="391"/>
      <c r="GD30" s="391"/>
      <c r="GE30" s="391"/>
      <c r="GF30" s="391"/>
      <c r="GG30" s="391"/>
      <c r="GH30" s="391"/>
      <c r="GI30" s="391"/>
      <c r="GJ30" s="391"/>
      <c r="GK30" s="391"/>
      <c r="GL30" s="391"/>
      <c r="GM30" s="391"/>
      <c r="GN30" s="391"/>
      <c r="GO30" s="391"/>
      <c r="GP30" s="391"/>
      <c r="GQ30" s="285"/>
      <c r="GR30" s="286"/>
      <c r="GS30" s="286"/>
      <c r="GT30" s="286"/>
      <c r="GU30" s="286"/>
    </row>
    <row r="31" spans="1:211" s="270" customFormat="1" ht="20.100000000000001" customHeight="1">
      <c r="A31" s="377" t="s">
        <v>319</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c r="BW31" s="377"/>
      <c r="BX31" s="377"/>
      <c r="BY31" s="377"/>
      <c r="BZ31" s="377"/>
      <c r="CA31" s="377"/>
      <c r="CB31" s="377"/>
      <c r="CC31" s="377"/>
      <c r="CD31" s="377"/>
      <c r="CE31" s="377"/>
      <c r="CF31" s="377"/>
      <c r="CG31" s="377"/>
      <c r="CH31" s="377"/>
      <c r="CI31" s="377"/>
      <c r="CJ31" s="377"/>
      <c r="CK31" s="377"/>
      <c r="CL31" s="377"/>
      <c r="CM31" s="377"/>
      <c r="CN31" s="377"/>
      <c r="CO31" s="377"/>
      <c r="CP31" s="377"/>
      <c r="CQ31" s="377"/>
      <c r="CR31" s="377"/>
      <c r="CS31" s="377"/>
      <c r="CT31" s="377"/>
      <c r="CU31" s="377"/>
      <c r="CV31" s="377"/>
      <c r="CW31" s="377"/>
      <c r="CX31" s="377"/>
      <c r="CY31" s="377"/>
      <c r="CZ31" s="377"/>
      <c r="DA31" s="377"/>
      <c r="DB31" s="377"/>
      <c r="DC31" s="377"/>
      <c r="DD31" s="377"/>
      <c r="DE31" s="377"/>
      <c r="DF31" s="377"/>
      <c r="DG31" s="377"/>
      <c r="DH31" s="377"/>
      <c r="DI31" s="377"/>
      <c r="DJ31" s="377"/>
      <c r="DK31" s="377"/>
      <c r="DL31" s="377"/>
      <c r="DM31" s="377"/>
      <c r="DN31" s="377"/>
      <c r="DO31" s="377"/>
      <c r="DP31" s="377"/>
      <c r="DQ31" s="377"/>
      <c r="DR31" s="377"/>
      <c r="DS31" s="377"/>
      <c r="DT31" s="377"/>
      <c r="DU31" s="377"/>
      <c r="DV31" s="377"/>
      <c r="DW31" s="377"/>
      <c r="DX31" s="377"/>
      <c r="DY31" s="377"/>
      <c r="DZ31" s="377"/>
      <c r="EA31" s="377"/>
      <c r="EB31" s="377"/>
      <c r="EC31" s="377"/>
      <c r="ED31" s="377"/>
      <c r="EE31" s="377"/>
      <c r="EF31" s="377"/>
      <c r="EG31" s="377"/>
      <c r="EH31" s="377"/>
      <c r="EI31" s="377"/>
      <c r="EJ31" s="377"/>
      <c r="EK31" s="377"/>
      <c r="EL31" s="377"/>
      <c r="EM31" s="377"/>
      <c r="EN31" s="377"/>
      <c r="EO31" s="377"/>
      <c r="EP31" s="377"/>
      <c r="EQ31" s="377"/>
      <c r="ER31" s="377"/>
      <c r="ES31" s="377"/>
      <c r="ET31" s="377"/>
      <c r="EU31" s="377"/>
      <c r="EV31" s="377"/>
      <c r="EW31" s="377"/>
      <c r="EX31" s="377"/>
      <c r="EY31" s="377"/>
      <c r="EZ31" s="377"/>
      <c r="FA31" s="377"/>
      <c r="FB31" s="377"/>
      <c r="FC31" s="377"/>
      <c r="FD31" s="377"/>
      <c r="FE31" s="377"/>
      <c r="FF31" s="377"/>
      <c r="FG31" s="377"/>
      <c r="FH31" s="377"/>
      <c r="FI31" s="377"/>
      <c r="FJ31" s="377"/>
      <c r="FK31" s="377"/>
      <c r="FL31" s="377"/>
      <c r="FM31" s="377"/>
      <c r="FN31" s="377"/>
      <c r="FO31" s="377"/>
      <c r="FP31" s="377"/>
      <c r="FQ31" s="377"/>
      <c r="FR31" s="377"/>
      <c r="FS31" s="377"/>
      <c r="FT31" s="377"/>
      <c r="FU31" s="377"/>
      <c r="FV31" s="377"/>
      <c r="FW31" s="377"/>
      <c r="FX31" s="377"/>
      <c r="FY31" s="377"/>
      <c r="FZ31" s="377"/>
      <c r="GA31" s="377"/>
      <c r="GB31" s="377"/>
      <c r="GC31" s="377"/>
      <c r="GD31" s="377"/>
      <c r="GE31" s="377"/>
      <c r="GF31" s="377"/>
      <c r="GG31" s="377"/>
      <c r="GH31" s="377"/>
      <c r="GI31" s="377"/>
      <c r="GJ31" s="377"/>
      <c r="GK31" s="377"/>
      <c r="GL31" s="377"/>
      <c r="GM31" s="377"/>
      <c r="GN31" s="377"/>
      <c r="GO31" s="377"/>
      <c r="GR31" s="287">
        <v>36661080.759999998</v>
      </c>
      <c r="GS31" s="287">
        <f>FZ27-GR31</f>
        <v>8865810.9951428548</v>
      </c>
      <c r="GT31" s="287">
        <f>GS31/12/2.3</f>
        <v>321225.03605590056</v>
      </c>
      <c r="GU31" s="287"/>
    </row>
    <row r="32" spans="1:211" ht="20.100000000000001" customHeight="1">
      <c r="GD32" s="306"/>
      <c r="GE32" s="307"/>
      <c r="GF32" s="307"/>
      <c r="GG32" s="307"/>
      <c r="GH32" s="307"/>
      <c r="GI32" s="307"/>
      <c r="GJ32" s="307"/>
      <c r="GK32" s="307"/>
      <c r="GL32" s="307"/>
      <c r="GM32" s="307"/>
      <c r="GN32" s="307"/>
      <c r="GO32" s="307"/>
      <c r="GP32" s="307"/>
      <c r="GR32" s="288"/>
      <c r="GS32" s="288"/>
      <c r="GT32" s="288"/>
      <c r="GU32" s="288"/>
    </row>
    <row r="33" spans="1:203" s="299" customFormat="1" ht="20.100000000000001" customHeight="1">
      <c r="A33" s="377" t="s">
        <v>284</v>
      </c>
      <c r="B33" s="377"/>
      <c r="C33" s="377"/>
      <c r="D33" s="377"/>
      <c r="E33" s="377"/>
      <c r="F33" s="377"/>
      <c r="G33" s="377"/>
      <c r="H33" s="377"/>
      <c r="I33" s="377"/>
      <c r="J33" s="377"/>
      <c r="K33" s="377"/>
      <c r="L33" s="377"/>
      <c r="M33" s="377"/>
      <c r="N33" s="377"/>
      <c r="O33" s="377"/>
      <c r="P33" s="377"/>
      <c r="Q33" s="377"/>
      <c r="R33" s="377"/>
      <c r="S33" s="377"/>
      <c r="T33" s="377"/>
      <c r="U33" s="377"/>
      <c r="X33" s="289" t="s">
        <v>320</v>
      </c>
      <c r="Y33" s="392" t="s">
        <v>321</v>
      </c>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c r="BO33" s="392"/>
      <c r="BP33" s="392"/>
      <c r="BQ33" s="392"/>
      <c r="BR33" s="392"/>
      <c r="BS33" s="392"/>
      <c r="BT33" s="392"/>
      <c r="BU33" s="392"/>
      <c r="BV33" s="392"/>
      <c r="BW33" s="392"/>
      <c r="BX33" s="392"/>
      <c r="BY33" s="392"/>
      <c r="BZ33" s="392"/>
      <c r="CA33" s="392"/>
      <c r="CB33" s="392"/>
      <c r="CC33" s="392"/>
      <c r="CD33" s="392"/>
      <c r="CE33" s="392"/>
      <c r="CF33" s="392"/>
      <c r="CG33" s="392"/>
      <c r="CH33" s="392"/>
      <c r="CI33" s="392"/>
      <c r="CJ33" s="392"/>
      <c r="CK33" s="392"/>
      <c r="CL33" s="392"/>
      <c r="CM33" s="392"/>
      <c r="CN33" s="392"/>
      <c r="CO33" s="392"/>
      <c r="CP33" s="392"/>
      <c r="CQ33" s="392"/>
      <c r="CR33" s="392"/>
      <c r="CS33" s="392"/>
      <c r="CT33" s="392"/>
      <c r="CU33" s="392"/>
      <c r="CV33" s="392"/>
      <c r="CW33" s="392"/>
      <c r="CX33" s="392"/>
      <c r="CY33" s="392"/>
      <c r="CZ33" s="392"/>
      <c r="DA33" s="392"/>
      <c r="DB33" s="289"/>
      <c r="DC33" s="289"/>
      <c r="DD33" s="289"/>
      <c r="DE33" s="289"/>
      <c r="DF33" s="289"/>
      <c r="DG33" s="289"/>
      <c r="DH33" s="289"/>
      <c r="DI33" s="289"/>
      <c r="DJ33" s="289"/>
      <c r="DK33" s="289"/>
      <c r="DL33" s="289"/>
      <c r="DM33" s="289"/>
      <c r="DN33" s="289"/>
      <c r="DO33" s="289"/>
      <c r="DP33" s="289"/>
      <c r="DQ33" s="289"/>
      <c r="DR33" s="289"/>
      <c r="DS33" s="289"/>
      <c r="DT33" s="289"/>
      <c r="DU33" s="289"/>
      <c r="DV33" s="289"/>
      <c r="DW33" s="289"/>
      <c r="DX33" s="289"/>
      <c r="DY33" s="289"/>
      <c r="DZ33" s="289"/>
      <c r="EA33" s="289"/>
      <c r="EB33" s="289"/>
      <c r="EC33" s="289"/>
      <c r="ED33" s="289"/>
      <c r="EE33" s="289"/>
      <c r="EF33" s="289"/>
      <c r="EG33" s="289"/>
      <c r="EH33" s="289"/>
      <c r="EI33" s="289"/>
      <c r="EJ33" s="289"/>
      <c r="EK33" s="289"/>
      <c r="EL33" s="289"/>
      <c r="EM33" s="289"/>
      <c r="EN33" s="289"/>
      <c r="EO33" s="289"/>
      <c r="EP33" s="289"/>
      <c r="EQ33" s="289"/>
      <c r="ER33" s="289"/>
      <c r="ES33" s="289"/>
      <c r="ET33" s="289"/>
      <c r="EU33" s="289"/>
      <c r="EV33" s="289"/>
      <c r="EW33" s="289"/>
      <c r="EX33" s="289"/>
      <c r="EY33" s="289"/>
      <c r="EZ33" s="289"/>
      <c r="FA33" s="289"/>
      <c r="FB33" s="289"/>
      <c r="FC33" s="289"/>
      <c r="FD33" s="289"/>
      <c r="FE33" s="289"/>
      <c r="FF33" s="289"/>
      <c r="FG33" s="289"/>
      <c r="FH33" s="289"/>
      <c r="FI33" s="289"/>
      <c r="FJ33" s="289"/>
      <c r="FK33" s="289"/>
      <c r="FL33" s="289"/>
      <c r="FM33" s="289"/>
      <c r="FN33" s="289"/>
      <c r="FO33" s="289"/>
      <c r="FP33" s="289"/>
      <c r="FQ33" s="289"/>
      <c r="FR33" s="289"/>
      <c r="FS33" s="289"/>
      <c r="FT33" s="289"/>
      <c r="FU33" s="289"/>
      <c r="FV33" s="289"/>
      <c r="FW33" s="289"/>
      <c r="FX33" s="289"/>
      <c r="FY33" s="289"/>
      <c r="FZ33" s="289"/>
      <c r="GA33" s="289"/>
      <c r="GB33" s="289"/>
      <c r="GC33" s="289"/>
      <c r="GD33" s="307"/>
      <c r="GE33" s="307"/>
      <c r="GF33" s="307"/>
      <c r="GG33" s="307"/>
      <c r="GH33" s="307"/>
      <c r="GI33" s="307"/>
      <c r="GJ33" s="307"/>
      <c r="GK33" s="307"/>
      <c r="GL33" s="307"/>
      <c r="GM33" s="307"/>
      <c r="GN33" s="307"/>
      <c r="GO33" s="307"/>
      <c r="GP33" s="307"/>
      <c r="GR33" s="290"/>
      <c r="GS33" s="290"/>
      <c r="GT33" s="290"/>
      <c r="GU33" s="290"/>
    </row>
    <row r="34" spans="1:203" ht="20.100000000000001" customHeight="1">
      <c r="GR34" s="288"/>
      <c r="GS34" s="288"/>
      <c r="GT34" s="288"/>
      <c r="GU34" s="288"/>
    </row>
    <row r="35" spans="1:203" s="270" customFormat="1" ht="55.5" customHeight="1">
      <c r="A35" s="378" t="s">
        <v>286</v>
      </c>
      <c r="B35" s="379"/>
      <c r="C35" s="379"/>
      <c r="D35" s="379"/>
      <c r="E35" s="379"/>
      <c r="F35" s="380"/>
      <c r="G35" s="378" t="s">
        <v>322</v>
      </c>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80"/>
      <c r="BW35" s="378" t="s">
        <v>323</v>
      </c>
      <c r="BX35" s="379"/>
      <c r="BY35" s="379"/>
      <c r="BZ35" s="379"/>
      <c r="CA35" s="379"/>
      <c r="CB35" s="379"/>
      <c r="CC35" s="379"/>
      <c r="CD35" s="379"/>
      <c r="CE35" s="379"/>
      <c r="CF35" s="379"/>
      <c r="CG35" s="379"/>
      <c r="CH35" s="379"/>
      <c r="CI35" s="379"/>
      <c r="CJ35" s="379"/>
      <c r="CK35" s="379"/>
      <c r="CL35" s="380"/>
      <c r="CM35" s="393" t="s">
        <v>324</v>
      </c>
      <c r="CN35" s="393"/>
      <c r="CO35" s="393"/>
      <c r="CP35" s="393"/>
      <c r="CQ35" s="393"/>
      <c r="CR35" s="393"/>
      <c r="CS35" s="393"/>
      <c r="CT35" s="393"/>
      <c r="CU35" s="393"/>
      <c r="CV35" s="393"/>
      <c r="CW35" s="393"/>
      <c r="CX35" s="393"/>
      <c r="CY35" s="393"/>
      <c r="CZ35" s="393"/>
      <c r="DA35" s="393"/>
      <c r="DB35" s="393"/>
      <c r="DC35" s="393"/>
      <c r="DD35" s="393"/>
      <c r="DE35" s="393"/>
      <c r="GR35" s="287">
        <f>369654.63+12610704.88+26329.23+265.95+622627.45+6289.17</f>
        <v>13635871.310000001</v>
      </c>
      <c r="GS35" s="287"/>
      <c r="GT35" s="287"/>
      <c r="GU35" s="287"/>
    </row>
    <row r="36" spans="1:203" ht="20.100000000000001" customHeight="1">
      <c r="A36" s="371">
        <v>1</v>
      </c>
      <c r="B36" s="371"/>
      <c r="C36" s="371"/>
      <c r="D36" s="371"/>
      <c r="E36" s="371"/>
      <c r="F36" s="371"/>
      <c r="G36" s="371">
        <v>2</v>
      </c>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v>3</v>
      </c>
      <c r="BX36" s="371"/>
      <c r="BY36" s="371"/>
      <c r="BZ36" s="371"/>
      <c r="CA36" s="371"/>
      <c r="CB36" s="371"/>
      <c r="CC36" s="371"/>
      <c r="CD36" s="371"/>
      <c r="CE36" s="371"/>
      <c r="CF36" s="371"/>
      <c r="CG36" s="371"/>
      <c r="CH36" s="371"/>
      <c r="CI36" s="371"/>
      <c r="CJ36" s="371"/>
      <c r="CK36" s="371"/>
      <c r="CL36" s="371"/>
      <c r="CM36" s="371">
        <v>4</v>
      </c>
      <c r="CN36" s="371"/>
      <c r="CO36" s="371"/>
      <c r="CP36" s="371"/>
      <c r="CQ36" s="371"/>
      <c r="CR36" s="371"/>
      <c r="CS36" s="371"/>
      <c r="CT36" s="371"/>
      <c r="CU36" s="371"/>
      <c r="CV36" s="371"/>
      <c r="CW36" s="371"/>
      <c r="CX36" s="371"/>
      <c r="CY36" s="371"/>
      <c r="CZ36" s="371"/>
      <c r="DA36" s="371"/>
      <c r="DB36" s="371"/>
      <c r="DC36" s="371"/>
      <c r="DD36" s="371"/>
      <c r="DE36" s="371"/>
      <c r="GR36" s="288"/>
      <c r="GS36" s="288"/>
      <c r="GT36" s="288"/>
      <c r="GU36" s="288"/>
    </row>
    <row r="37" spans="1:203" s="270" customFormat="1" ht="20.100000000000001" customHeight="1">
      <c r="A37" s="385" t="s">
        <v>299</v>
      </c>
      <c r="B37" s="385"/>
      <c r="C37" s="385"/>
      <c r="D37" s="385"/>
      <c r="E37" s="385"/>
      <c r="F37" s="385"/>
      <c r="G37" s="291"/>
      <c r="H37" s="386" t="s">
        <v>325</v>
      </c>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c r="BK37" s="386"/>
      <c r="BL37" s="386"/>
      <c r="BM37" s="386"/>
      <c r="BN37" s="386"/>
      <c r="BO37" s="386"/>
      <c r="BP37" s="386"/>
      <c r="BQ37" s="386"/>
      <c r="BR37" s="386"/>
      <c r="BS37" s="386"/>
      <c r="BT37" s="386"/>
      <c r="BU37" s="386"/>
      <c r="BV37" s="387"/>
      <c r="BW37" s="388">
        <f>FZ27</f>
        <v>45526891.755142853</v>
      </c>
      <c r="BX37" s="389"/>
      <c r="BY37" s="389"/>
      <c r="BZ37" s="389"/>
      <c r="CA37" s="389"/>
      <c r="CB37" s="389"/>
      <c r="CC37" s="389"/>
      <c r="CD37" s="389"/>
      <c r="CE37" s="389"/>
      <c r="CF37" s="389"/>
      <c r="CG37" s="389"/>
      <c r="CH37" s="389"/>
      <c r="CI37" s="389"/>
      <c r="CJ37" s="389"/>
      <c r="CK37" s="389"/>
      <c r="CL37" s="389"/>
      <c r="CM37" s="390">
        <v>13635871.310000001</v>
      </c>
      <c r="CN37" s="390"/>
      <c r="CO37" s="390"/>
      <c r="CP37" s="390"/>
      <c r="CQ37" s="390"/>
      <c r="CR37" s="390"/>
      <c r="CS37" s="390"/>
      <c r="CT37" s="390"/>
      <c r="CU37" s="390"/>
      <c r="CV37" s="390"/>
      <c r="CW37" s="390"/>
      <c r="CX37" s="390"/>
      <c r="CY37" s="390"/>
      <c r="CZ37" s="390"/>
      <c r="DA37" s="390"/>
      <c r="DB37" s="390"/>
      <c r="DC37" s="390"/>
      <c r="DD37" s="390"/>
      <c r="DE37" s="390"/>
      <c r="GR37" s="287"/>
      <c r="GS37" s="287"/>
      <c r="GT37" s="287"/>
      <c r="GU37" s="287"/>
    </row>
    <row r="38" spans="1:203" s="292" customFormat="1" ht="18.75" customHeight="1">
      <c r="A38" s="355"/>
      <c r="B38" s="355"/>
      <c r="C38" s="355"/>
      <c r="D38" s="355"/>
      <c r="E38" s="355"/>
      <c r="F38" s="355"/>
      <c r="G38" s="381" t="s">
        <v>310</v>
      </c>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3"/>
      <c r="BW38" s="358" t="s">
        <v>3</v>
      </c>
      <c r="BX38" s="358"/>
      <c r="BY38" s="358"/>
      <c r="BZ38" s="358"/>
      <c r="CA38" s="358"/>
      <c r="CB38" s="358"/>
      <c r="CC38" s="358"/>
      <c r="CD38" s="358"/>
      <c r="CE38" s="358"/>
      <c r="CF38" s="358"/>
      <c r="CG38" s="358"/>
      <c r="CH38" s="358"/>
      <c r="CI38" s="358"/>
      <c r="CJ38" s="358"/>
      <c r="CK38" s="358"/>
      <c r="CL38" s="358"/>
      <c r="CM38" s="384"/>
      <c r="CN38" s="384"/>
      <c r="CO38" s="384"/>
      <c r="CP38" s="384"/>
      <c r="CQ38" s="384"/>
      <c r="CR38" s="384"/>
      <c r="CS38" s="384"/>
      <c r="CT38" s="384"/>
      <c r="CU38" s="384"/>
      <c r="CV38" s="384"/>
      <c r="CW38" s="384"/>
      <c r="CX38" s="384"/>
      <c r="CY38" s="384"/>
      <c r="CZ38" s="384"/>
      <c r="DA38" s="384"/>
      <c r="DB38" s="384"/>
      <c r="DC38" s="384"/>
      <c r="DD38" s="384"/>
      <c r="DE38" s="384"/>
      <c r="GR38" s="293"/>
      <c r="GS38" s="293"/>
      <c r="GT38" s="293"/>
      <c r="GU38" s="293"/>
    </row>
    <row r="39" spans="1:203" s="278" customFormat="1" ht="19.5" hidden="1" customHeight="1">
      <c r="A39" s="375" t="s">
        <v>317</v>
      </c>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6">
        <f>CM37</f>
        <v>13635871.310000001</v>
      </c>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c r="FP39" s="280"/>
      <c r="FQ39" s="280"/>
      <c r="FR39" s="280"/>
      <c r="FS39" s="280"/>
      <c r="FT39" s="280"/>
      <c r="FU39" s="280"/>
      <c r="FV39" s="280"/>
      <c r="FW39" s="280"/>
      <c r="FX39" s="280"/>
      <c r="FY39" s="280"/>
      <c r="FZ39" s="281"/>
      <c r="GA39" s="281"/>
      <c r="GB39" s="281"/>
      <c r="GC39" s="281"/>
      <c r="GD39" s="281"/>
      <c r="GE39" s="281"/>
      <c r="GF39" s="281"/>
      <c r="GG39" s="281"/>
      <c r="GH39" s="281"/>
      <c r="GI39" s="281"/>
      <c r="GJ39" s="281"/>
      <c r="GK39" s="281"/>
      <c r="GL39" s="281"/>
      <c r="GM39" s="281"/>
      <c r="GN39" s="281"/>
      <c r="GO39" s="281"/>
      <c r="GP39" s="281"/>
      <c r="GQ39" s="282"/>
      <c r="GR39" s="277"/>
      <c r="GS39" s="277"/>
      <c r="GT39" s="277"/>
      <c r="GU39" s="277"/>
    </row>
    <row r="40" spans="1:203" s="278" customFormat="1" ht="20.100000000000001" customHeight="1">
      <c r="A40" s="375" t="s">
        <v>326</v>
      </c>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6">
        <f>BN39</f>
        <v>13635871.310000001</v>
      </c>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c r="FU40" s="280"/>
      <c r="FV40" s="280"/>
      <c r="FW40" s="280"/>
      <c r="FX40" s="280"/>
      <c r="FY40" s="280"/>
      <c r="FZ40" s="281"/>
      <c r="GA40" s="281"/>
      <c r="GB40" s="281"/>
      <c r="GC40" s="281"/>
      <c r="GD40" s="281"/>
      <c r="GE40" s="281"/>
      <c r="GF40" s="281"/>
      <c r="GG40" s="281"/>
      <c r="GH40" s="281"/>
      <c r="GI40" s="281"/>
      <c r="GJ40" s="281"/>
      <c r="GK40" s="281"/>
      <c r="GL40" s="281"/>
      <c r="GM40" s="281"/>
      <c r="GN40" s="281"/>
      <c r="GO40" s="281"/>
      <c r="GP40" s="281"/>
      <c r="GQ40" s="282"/>
      <c r="GR40" s="277"/>
      <c r="GS40" s="277"/>
      <c r="GT40" s="277"/>
      <c r="GU40" s="277"/>
    </row>
    <row r="41" spans="1:203" s="292" customFormat="1" ht="20.100000000000001" customHeight="1">
      <c r="A41" s="294"/>
      <c r="B41" s="294"/>
      <c r="C41" s="294"/>
      <c r="D41" s="294"/>
      <c r="E41" s="294"/>
      <c r="F41" s="294"/>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4"/>
      <c r="BX41" s="284"/>
      <c r="BY41" s="284"/>
      <c r="BZ41" s="284"/>
      <c r="CA41" s="284"/>
      <c r="CB41" s="284"/>
      <c r="CC41" s="284"/>
      <c r="CD41" s="284"/>
      <c r="CE41" s="284"/>
      <c r="CF41" s="284"/>
      <c r="CG41" s="284"/>
      <c r="CH41" s="284"/>
      <c r="CI41" s="284"/>
      <c r="CJ41" s="284"/>
      <c r="CK41" s="284"/>
      <c r="CL41" s="284"/>
      <c r="CM41" s="301"/>
      <c r="CN41" s="301"/>
      <c r="CO41" s="301"/>
      <c r="CP41" s="301"/>
      <c r="CQ41" s="301"/>
      <c r="CR41" s="301"/>
      <c r="CS41" s="301"/>
      <c r="CT41" s="301"/>
      <c r="CU41" s="301"/>
      <c r="CV41" s="301"/>
      <c r="CW41" s="301"/>
      <c r="CX41" s="301"/>
      <c r="CY41" s="301"/>
      <c r="CZ41" s="301"/>
      <c r="DA41" s="301"/>
      <c r="DB41" s="301"/>
      <c r="DC41" s="301"/>
      <c r="DD41" s="301"/>
      <c r="DE41" s="301"/>
      <c r="GR41" s="293"/>
      <c r="GS41" s="293"/>
      <c r="GT41" s="293"/>
      <c r="GU41" s="293"/>
    </row>
    <row r="42" spans="1:203" s="270" customFormat="1" ht="21.6" customHeight="1">
      <c r="A42" s="377" t="s">
        <v>327</v>
      </c>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377"/>
      <c r="CH42" s="377"/>
      <c r="CI42" s="377"/>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77"/>
      <c r="DI42" s="377"/>
      <c r="DJ42" s="377"/>
      <c r="DK42" s="377"/>
      <c r="DL42" s="377"/>
      <c r="DM42" s="377"/>
      <c r="DN42" s="377"/>
      <c r="DO42" s="377"/>
      <c r="DP42" s="377"/>
      <c r="DQ42" s="377"/>
      <c r="DR42" s="377"/>
      <c r="DS42" s="377"/>
      <c r="DT42" s="377"/>
      <c r="DU42" s="377"/>
      <c r="DV42" s="377"/>
      <c r="DW42" s="377"/>
      <c r="DX42" s="377"/>
      <c r="DY42" s="377"/>
      <c r="DZ42" s="377"/>
      <c r="EA42" s="377"/>
      <c r="EB42" s="377"/>
      <c r="EC42" s="377"/>
      <c r="ED42" s="377"/>
      <c r="EE42" s="377"/>
      <c r="EF42" s="377"/>
      <c r="EG42" s="377"/>
      <c r="EH42" s="377"/>
      <c r="EI42" s="377"/>
      <c r="EJ42" s="377"/>
      <c r="EK42" s="377"/>
      <c r="EL42" s="377"/>
      <c r="EM42" s="377"/>
      <c r="EN42" s="377"/>
      <c r="EO42" s="377"/>
      <c r="EP42" s="377"/>
      <c r="EQ42" s="377"/>
      <c r="ER42" s="377"/>
      <c r="ES42" s="377"/>
      <c r="ET42" s="377"/>
      <c r="EU42" s="377"/>
      <c r="EV42" s="377"/>
      <c r="EW42" s="377"/>
      <c r="EX42" s="377"/>
      <c r="EY42" s="377"/>
      <c r="EZ42" s="377"/>
      <c r="FA42" s="377"/>
      <c r="FB42" s="377"/>
      <c r="FC42" s="377"/>
      <c r="FD42" s="377"/>
      <c r="FE42" s="377"/>
      <c r="FF42" s="377"/>
      <c r="FG42" s="377"/>
      <c r="FH42" s="377"/>
      <c r="FI42" s="377"/>
      <c r="FJ42" s="377"/>
      <c r="FK42" s="377"/>
      <c r="FL42" s="377"/>
      <c r="FM42" s="377"/>
      <c r="FN42" s="377"/>
      <c r="FO42" s="377"/>
      <c r="FP42" s="377"/>
      <c r="FQ42" s="377"/>
      <c r="FR42" s="377"/>
      <c r="FS42" s="377"/>
      <c r="FT42" s="377"/>
      <c r="FU42" s="377"/>
      <c r="FV42" s="377"/>
      <c r="FW42" s="377"/>
      <c r="FX42" s="377"/>
      <c r="FY42" s="377"/>
      <c r="FZ42" s="377"/>
      <c r="GA42" s="377"/>
      <c r="GB42" s="377"/>
      <c r="GC42" s="377"/>
      <c r="GD42" s="377"/>
      <c r="GE42" s="377"/>
      <c r="GF42" s="377"/>
      <c r="GG42" s="377"/>
      <c r="GH42" s="377"/>
      <c r="GI42" s="377"/>
      <c r="GJ42" s="377"/>
      <c r="GK42" s="377"/>
      <c r="GL42" s="377"/>
      <c r="GM42" s="377"/>
      <c r="GN42" s="377"/>
      <c r="GO42" s="377"/>
      <c r="GR42" s="287"/>
      <c r="GS42" s="287"/>
      <c r="GT42" s="287"/>
      <c r="GU42" s="287"/>
    </row>
    <row r="43" spans="1:203" s="292" customFormat="1" ht="13.5" customHeight="1">
      <c r="A43" s="294"/>
      <c r="B43" s="294"/>
      <c r="C43" s="294"/>
      <c r="D43" s="294"/>
      <c r="E43" s="294"/>
      <c r="F43" s="294"/>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4"/>
      <c r="BX43" s="284"/>
      <c r="BY43" s="284"/>
      <c r="BZ43" s="284"/>
      <c r="CA43" s="284"/>
      <c r="CB43" s="284"/>
      <c r="CC43" s="284"/>
      <c r="CD43" s="284"/>
      <c r="CE43" s="284"/>
      <c r="CF43" s="284"/>
      <c r="CG43" s="284"/>
      <c r="CH43" s="284"/>
      <c r="CI43" s="284"/>
      <c r="CJ43" s="284"/>
      <c r="CK43" s="284"/>
      <c r="CL43" s="284"/>
      <c r="CM43" s="301"/>
      <c r="CN43" s="284"/>
      <c r="CO43" s="284"/>
      <c r="CP43" s="284"/>
      <c r="CQ43" s="284"/>
      <c r="CR43" s="284"/>
      <c r="CS43" s="284"/>
      <c r="CT43" s="284"/>
      <c r="CU43" s="284"/>
      <c r="CV43" s="284"/>
      <c r="CW43" s="284"/>
      <c r="CX43" s="284"/>
      <c r="CY43" s="284"/>
      <c r="CZ43" s="284"/>
      <c r="DA43" s="284"/>
      <c r="GR43" s="293"/>
      <c r="GS43" s="293"/>
      <c r="GT43" s="293"/>
      <c r="GU43" s="293"/>
    </row>
    <row r="44" spans="1:203" s="271" customFormat="1" ht="55.5" customHeight="1">
      <c r="A44" s="378" t="s">
        <v>286</v>
      </c>
      <c r="B44" s="379"/>
      <c r="C44" s="379"/>
      <c r="D44" s="379"/>
      <c r="E44" s="379"/>
      <c r="F44" s="380"/>
      <c r="G44" s="378" t="s">
        <v>328</v>
      </c>
      <c r="H44" s="379"/>
      <c r="I44" s="379"/>
      <c r="J44" s="379"/>
      <c r="K44" s="379"/>
      <c r="L44" s="379"/>
      <c r="M44" s="379"/>
      <c r="N44" s="379"/>
      <c r="O44" s="379"/>
      <c r="P44" s="379"/>
      <c r="Q44" s="379"/>
      <c r="R44" s="379"/>
      <c r="S44" s="379"/>
      <c r="T44" s="379"/>
      <c r="U44" s="379"/>
      <c r="V44" s="379"/>
      <c r="W44" s="379"/>
      <c r="X44" s="379"/>
      <c r="Y44" s="379"/>
      <c r="Z44" s="379"/>
      <c r="AA44" s="379"/>
      <c r="AB44" s="379"/>
      <c r="AC44" s="379"/>
      <c r="AD44" s="380"/>
      <c r="AE44" s="378" t="s">
        <v>329</v>
      </c>
      <c r="AF44" s="379"/>
      <c r="AG44" s="379"/>
      <c r="AH44" s="379"/>
      <c r="AI44" s="379"/>
      <c r="AJ44" s="379"/>
      <c r="AK44" s="379"/>
      <c r="AL44" s="379"/>
      <c r="AM44" s="379"/>
      <c r="AN44" s="379"/>
      <c r="AO44" s="379"/>
      <c r="AP44" s="379"/>
      <c r="AQ44" s="379"/>
      <c r="AR44" s="379"/>
      <c r="AS44" s="379"/>
      <c r="AT44" s="379"/>
      <c r="AU44" s="379"/>
      <c r="AV44" s="379"/>
      <c r="AW44" s="379"/>
      <c r="AX44" s="379"/>
      <c r="AY44" s="380"/>
      <c r="AZ44" s="378" t="s">
        <v>330</v>
      </c>
      <c r="BA44" s="379"/>
      <c r="BB44" s="379"/>
      <c r="BC44" s="379"/>
      <c r="BD44" s="379"/>
      <c r="BE44" s="379"/>
      <c r="BF44" s="379"/>
      <c r="BG44" s="379"/>
      <c r="BH44" s="379"/>
      <c r="BI44" s="379"/>
      <c r="BJ44" s="379"/>
      <c r="BK44" s="379"/>
      <c r="BL44" s="379"/>
      <c r="BM44" s="379"/>
      <c r="BN44" s="379"/>
      <c r="BO44" s="379"/>
      <c r="BP44" s="379"/>
      <c r="BQ44" s="380"/>
      <c r="BR44" s="365" t="s">
        <v>331</v>
      </c>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7"/>
      <c r="GR44" s="295"/>
      <c r="GS44" s="295"/>
      <c r="GT44" s="295"/>
      <c r="GU44" s="295"/>
    </row>
    <row r="45" spans="1:203" s="274" customFormat="1">
      <c r="A45" s="371">
        <v>1</v>
      </c>
      <c r="B45" s="371"/>
      <c r="C45" s="371"/>
      <c r="D45" s="371"/>
      <c r="E45" s="371"/>
      <c r="F45" s="371"/>
      <c r="G45" s="371">
        <v>2</v>
      </c>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v>3</v>
      </c>
      <c r="AF45" s="371"/>
      <c r="AG45" s="371"/>
      <c r="AH45" s="371"/>
      <c r="AI45" s="371"/>
      <c r="AJ45" s="371"/>
      <c r="AK45" s="371"/>
      <c r="AL45" s="371"/>
      <c r="AM45" s="371"/>
      <c r="AN45" s="371"/>
      <c r="AO45" s="371"/>
      <c r="AP45" s="371"/>
      <c r="AQ45" s="371"/>
      <c r="AR45" s="371"/>
      <c r="AS45" s="371"/>
      <c r="AT45" s="371"/>
      <c r="AU45" s="371"/>
      <c r="AV45" s="371"/>
      <c r="AW45" s="371"/>
      <c r="AX45" s="371"/>
      <c r="AY45" s="371"/>
      <c r="AZ45" s="371">
        <v>4</v>
      </c>
      <c r="BA45" s="371"/>
      <c r="BB45" s="371"/>
      <c r="BC45" s="371"/>
      <c r="BD45" s="371"/>
      <c r="BE45" s="371"/>
      <c r="BF45" s="371"/>
      <c r="BG45" s="371"/>
      <c r="BH45" s="371"/>
      <c r="BI45" s="371"/>
      <c r="BJ45" s="371"/>
      <c r="BK45" s="371"/>
      <c r="BL45" s="371"/>
      <c r="BM45" s="371"/>
      <c r="BN45" s="371"/>
      <c r="BO45" s="371"/>
      <c r="BP45" s="371"/>
      <c r="BQ45" s="371"/>
      <c r="BR45" s="372">
        <v>5</v>
      </c>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4"/>
      <c r="GR45" s="296"/>
      <c r="GS45" s="296"/>
      <c r="GT45" s="296"/>
      <c r="GU45" s="296"/>
    </row>
    <row r="46" spans="1:203" s="274" customFormat="1" ht="39.950000000000003" customHeight="1">
      <c r="A46" s="362">
        <v>1</v>
      </c>
      <c r="B46" s="363"/>
      <c r="C46" s="363"/>
      <c r="D46" s="363"/>
      <c r="E46" s="363"/>
      <c r="F46" s="364"/>
      <c r="G46" s="365" t="s">
        <v>332</v>
      </c>
      <c r="H46" s="366"/>
      <c r="I46" s="366"/>
      <c r="J46" s="366"/>
      <c r="K46" s="366"/>
      <c r="L46" s="366"/>
      <c r="M46" s="366"/>
      <c r="N46" s="366"/>
      <c r="O46" s="366"/>
      <c r="P46" s="366"/>
      <c r="Q46" s="366"/>
      <c r="R46" s="366"/>
      <c r="S46" s="366"/>
      <c r="T46" s="366"/>
      <c r="U46" s="366"/>
      <c r="V46" s="366"/>
      <c r="W46" s="366"/>
      <c r="X46" s="366"/>
      <c r="Y46" s="366"/>
      <c r="Z46" s="366"/>
      <c r="AA46" s="366"/>
      <c r="AB46" s="366"/>
      <c r="AC46" s="366"/>
      <c r="AD46" s="367"/>
      <c r="AE46" s="368">
        <v>0</v>
      </c>
      <c r="AF46" s="369"/>
      <c r="AG46" s="369"/>
      <c r="AH46" s="369"/>
      <c r="AI46" s="369"/>
      <c r="AJ46" s="369"/>
      <c r="AK46" s="369"/>
      <c r="AL46" s="369"/>
      <c r="AM46" s="369"/>
      <c r="AN46" s="369"/>
      <c r="AO46" s="369"/>
      <c r="AP46" s="369"/>
      <c r="AQ46" s="369"/>
      <c r="AR46" s="369"/>
      <c r="AS46" s="369"/>
      <c r="AT46" s="369"/>
      <c r="AU46" s="369"/>
      <c r="AV46" s="369"/>
      <c r="AW46" s="369"/>
      <c r="AX46" s="369"/>
      <c r="AY46" s="370"/>
      <c r="AZ46" s="368">
        <f>37500+100000</f>
        <v>137500</v>
      </c>
      <c r="BA46" s="369"/>
      <c r="BB46" s="369"/>
      <c r="BC46" s="369"/>
      <c r="BD46" s="369"/>
      <c r="BE46" s="369"/>
      <c r="BF46" s="369"/>
      <c r="BG46" s="369"/>
      <c r="BH46" s="369"/>
      <c r="BI46" s="369"/>
      <c r="BJ46" s="369"/>
      <c r="BK46" s="369"/>
      <c r="BL46" s="369"/>
      <c r="BM46" s="369"/>
      <c r="BN46" s="369"/>
      <c r="BO46" s="369"/>
      <c r="BP46" s="369"/>
      <c r="BQ46" s="370"/>
      <c r="BR46" s="368">
        <f t="shared" ref="BR46:BR52" si="4">AE46+AZ46</f>
        <v>137500</v>
      </c>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70"/>
      <c r="GR46" s="296"/>
      <c r="GS46" s="296"/>
      <c r="GT46" s="296"/>
      <c r="GU46" s="296"/>
    </row>
    <row r="47" spans="1:203" s="274" customFormat="1" ht="39.950000000000003" customHeight="1">
      <c r="A47" s="362">
        <v>2</v>
      </c>
      <c r="B47" s="363"/>
      <c r="C47" s="363"/>
      <c r="D47" s="363"/>
      <c r="E47" s="363"/>
      <c r="F47" s="364"/>
      <c r="G47" s="365" t="s">
        <v>333</v>
      </c>
      <c r="H47" s="366"/>
      <c r="I47" s="366"/>
      <c r="J47" s="366"/>
      <c r="K47" s="366"/>
      <c r="L47" s="366"/>
      <c r="M47" s="366"/>
      <c r="N47" s="366"/>
      <c r="O47" s="366"/>
      <c r="P47" s="366"/>
      <c r="Q47" s="366"/>
      <c r="R47" s="366"/>
      <c r="S47" s="366"/>
      <c r="T47" s="366"/>
      <c r="U47" s="366"/>
      <c r="V47" s="366"/>
      <c r="W47" s="366"/>
      <c r="X47" s="366"/>
      <c r="Y47" s="366"/>
      <c r="Z47" s="366"/>
      <c r="AA47" s="366"/>
      <c r="AB47" s="366"/>
      <c r="AC47" s="366"/>
      <c r="AD47" s="367"/>
      <c r="AE47" s="368">
        <v>0</v>
      </c>
      <c r="AF47" s="369"/>
      <c r="AG47" s="369"/>
      <c r="AH47" s="369"/>
      <c r="AI47" s="369"/>
      <c r="AJ47" s="369"/>
      <c r="AK47" s="369"/>
      <c r="AL47" s="369"/>
      <c r="AM47" s="369"/>
      <c r="AN47" s="369"/>
      <c r="AO47" s="369"/>
      <c r="AP47" s="369"/>
      <c r="AQ47" s="369"/>
      <c r="AR47" s="369"/>
      <c r="AS47" s="369"/>
      <c r="AT47" s="369"/>
      <c r="AU47" s="369"/>
      <c r="AV47" s="369"/>
      <c r="AW47" s="369"/>
      <c r="AX47" s="369"/>
      <c r="AY47" s="370"/>
      <c r="AZ47" s="368">
        <f>37500+7000</f>
        <v>44500</v>
      </c>
      <c r="BA47" s="369"/>
      <c r="BB47" s="369"/>
      <c r="BC47" s="369"/>
      <c r="BD47" s="369"/>
      <c r="BE47" s="369"/>
      <c r="BF47" s="369"/>
      <c r="BG47" s="369"/>
      <c r="BH47" s="369"/>
      <c r="BI47" s="369"/>
      <c r="BJ47" s="369"/>
      <c r="BK47" s="369"/>
      <c r="BL47" s="369"/>
      <c r="BM47" s="369"/>
      <c r="BN47" s="369"/>
      <c r="BO47" s="369"/>
      <c r="BP47" s="369"/>
      <c r="BQ47" s="370"/>
      <c r="BR47" s="368">
        <f t="shared" si="4"/>
        <v>44500</v>
      </c>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70"/>
      <c r="GR47" s="296"/>
      <c r="GS47" s="296"/>
      <c r="GT47" s="296"/>
      <c r="GU47" s="296"/>
    </row>
    <row r="48" spans="1:203" s="274" customFormat="1" ht="39.950000000000003" customHeight="1">
      <c r="A48" s="362">
        <v>3</v>
      </c>
      <c r="B48" s="363"/>
      <c r="C48" s="363"/>
      <c r="D48" s="363"/>
      <c r="E48" s="363"/>
      <c r="F48" s="364"/>
      <c r="G48" s="365" t="s">
        <v>334</v>
      </c>
      <c r="H48" s="366"/>
      <c r="I48" s="366"/>
      <c r="J48" s="366"/>
      <c r="K48" s="366"/>
      <c r="L48" s="366"/>
      <c r="M48" s="366"/>
      <c r="N48" s="366"/>
      <c r="O48" s="366"/>
      <c r="P48" s="366"/>
      <c r="Q48" s="366"/>
      <c r="R48" s="366"/>
      <c r="S48" s="366"/>
      <c r="T48" s="366"/>
      <c r="U48" s="366"/>
      <c r="V48" s="366"/>
      <c r="W48" s="366"/>
      <c r="X48" s="366"/>
      <c r="Y48" s="366"/>
      <c r="Z48" s="366"/>
      <c r="AA48" s="366"/>
      <c r="AB48" s="366"/>
      <c r="AC48" s="366"/>
      <c r="AD48" s="367"/>
      <c r="AE48" s="368">
        <v>0</v>
      </c>
      <c r="AF48" s="369"/>
      <c r="AG48" s="369"/>
      <c r="AH48" s="369"/>
      <c r="AI48" s="369"/>
      <c r="AJ48" s="369"/>
      <c r="AK48" s="369"/>
      <c r="AL48" s="369"/>
      <c r="AM48" s="369"/>
      <c r="AN48" s="369"/>
      <c r="AO48" s="369"/>
      <c r="AP48" s="369"/>
      <c r="AQ48" s="369"/>
      <c r="AR48" s="369"/>
      <c r="AS48" s="369"/>
      <c r="AT48" s="369"/>
      <c r="AU48" s="369"/>
      <c r="AV48" s="369"/>
      <c r="AW48" s="369"/>
      <c r="AX48" s="369"/>
      <c r="AY48" s="370"/>
      <c r="AZ48" s="368">
        <f>75000+304869.2</f>
        <v>379869.2</v>
      </c>
      <c r="BA48" s="369"/>
      <c r="BB48" s="369"/>
      <c r="BC48" s="369"/>
      <c r="BD48" s="369"/>
      <c r="BE48" s="369"/>
      <c r="BF48" s="369"/>
      <c r="BG48" s="369"/>
      <c r="BH48" s="369"/>
      <c r="BI48" s="369"/>
      <c r="BJ48" s="369"/>
      <c r="BK48" s="369"/>
      <c r="BL48" s="369"/>
      <c r="BM48" s="369"/>
      <c r="BN48" s="369"/>
      <c r="BO48" s="369"/>
      <c r="BP48" s="369"/>
      <c r="BQ48" s="370"/>
      <c r="BR48" s="368">
        <f t="shared" si="4"/>
        <v>379869.2</v>
      </c>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70"/>
    </row>
    <row r="49" spans="1:105" s="274" customFormat="1" ht="39.950000000000003" customHeight="1">
      <c r="A49" s="362">
        <v>4</v>
      </c>
      <c r="B49" s="363"/>
      <c r="C49" s="363"/>
      <c r="D49" s="363"/>
      <c r="E49" s="363"/>
      <c r="F49" s="364"/>
      <c r="G49" s="365" t="s">
        <v>335</v>
      </c>
      <c r="H49" s="366"/>
      <c r="I49" s="366"/>
      <c r="J49" s="366"/>
      <c r="K49" s="366"/>
      <c r="L49" s="366"/>
      <c r="M49" s="366"/>
      <c r="N49" s="366"/>
      <c r="O49" s="366"/>
      <c r="P49" s="366"/>
      <c r="Q49" s="366"/>
      <c r="R49" s="366"/>
      <c r="S49" s="366"/>
      <c r="T49" s="366"/>
      <c r="U49" s="366"/>
      <c r="V49" s="366"/>
      <c r="W49" s="366"/>
      <c r="X49" s="366"/>
      <c r="Y49" s="366"/>
      <c r="Z49" s="366"/>
      <c r="AA49" s="366"/>
      <c r="AB49" s="366"/>
      <c r="AC49" s="366"/>
      <c r="AD49" s="367"/>
      <c r="AE49" s="368">
        <v>0</v>
      </c>
      <c r="AF49" s="369"/>
      <c r="AG49" s="369"/>
      <c r="AH49" s="369"/>
      <c r="AI49" s="369"/>
      <c r="AJ49" s="369"/>
      <c r="AK49" s="369"/>
      <c r="AL49" s="369"/>
      <c r="AM49" s="369"/>
      <c r="AN49" s="369"/>
      <c r="AO49" s="369"/>
      <c r="AP49" s="369"/>
      <c r="AQ49" s="369"/>
      <c r="AR49" s="369"/>
      <c r="AS49" s="369"/>
      <c r="AT49" s="369"/>
      <c r="AU49" s="369"/>
      <c r="AV49" s="369"/>
      <c r="AW49" s="369"/>
      <c r="AX49" s="369"/>
      <c r="AY49" s="370"/>
      <c r="AZ49" s="368">
        <v>0</v>
      </c>
      <c r="BA49" s="369"/>
      <c r="BB49" s="369"/>
      <c r="BC49" s="369"/>
      <c r="BD49" s="369"/>
      <c r="BE49" s="369"/>
      <c r="BF49" s="369"/>
      <c r="BG49" s="369"/>
      <c r="BH49" s="369"/>
      <c r="BI49" s="369"/>
      <c r="BJ49" s="369"/>
      <c r="BK49" s="369"/>
      <c r="BL49" s="369"/>
      <c r="BM49" s="369"/>
      <c r="BN49" s="369"/>
      <c r="BO49" s="369"/>
      <c r="BP49" s="369"/>
      <c r="BQ49" s="370"/>
      <c r="BR49" s="368">
        <f>AE49+AZ49</f>
        <v>0</v>
      </c>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70"/>
    </row>
    <row r="50" spans="1:105" s="274" customFormat="1" ht="39.950000000000003" customHeight="1">
      <c r="A50" s="362">
        <v>5</v>
      </c>
      <c r="B50" s="363"/>
      <c r="C50" s="363"/>
      <c r="D50" s="363"/>
      <c r="E50" s="363"/>
      <c r="F50" s="364"/>
      <c r="G50" s="365" t="s">
        <v>336</v>
      </c>
      <c r="H50" s="366"/>
      <c r="I50" s="366"/>
      <c r="J50" s="366"/>
      <c r="K50" s="366"/>
      <c r="L50" s="366"/>
      <c r="M50" s="366"/>
      <c r="N50" s="366"/>
      <c r="O50" s="366"/>
      <c r="P50" s="366"/>
      <c r="Q50" s="366"/>
      <c r="R50" s="366"/>
      <c r="S50" s="366"/>
      <c r="T50" s="366"/>
      <c r="U50" s="366"/>
      <c r="V50" s="366"/>
      <c r="W50" s="366"/>
      <c r="X50" s="366"/>
      <c r="Y50" s="366"/>
      <c r="Z50" s="366"/>
      <c r="AA50" s="366"/>
      <c r="AB50" s="366"/>
      <c r="AC50" s="366"/>
      <c r="AD50" s="367"/>
      <c r="AE50" s="368">
        <v>0</v>
      </c>
      <c r="AF50" s="369"/>
      <c r="AG50" s="369"/>
      <c r="AH50" s="369"/>
      <c r="AI50" s="369"/>
      <c r="AJ50" s="369"/>
      <c r="AK50" s="369"/>
      <c r="AL50" s="369"/>
      <c r="AM50" s="369"/>
      <c r="AN50" s="369"/>
      <c r="AO50" s="369"/>
      <c r="AP50" s="369"/>
      <c r="AQ50" s="369"/>
      <c r="AR50" s="369"/>
      <c r="AS50" s="369"/>
      <c r="AT50" s="369"/>
      <c r="AU50" s="369"/>
      <c r="AV50" s="369"/>
      <c r="AW50" s="369"/>
      <c r="AX50" s="369"/>
      <c r="AY50" s="370"/>
      <c r="AZ50" s="368">
        <v>63226.99</v>
      </c>
      <c r="BA50" s="369"/>
      <c r="BB50" s="369"/>
      <c r="BC50" s="369"/>
      <c r="BD50" s="369"/>
      <c r="BE50" s="369"/>
      <c r="BF50" s="369"/>
      <c r="BG50" s="369"/>
      <c r="BH50" s="369"/>
      <c r="BI50" s="369"/>
      <c r="BJ50" s="369"/>
      <c r="BK50" s="369"/>
      <c r="BL50" s="369"/>
      <c r="BM50" s="369"/>
      <c r="BN50" s="369"/>
      <c r="BO50" s="369"/>
      <c r="BP50" s="369"/>
      <c r="BQ50" s="370"/>
      <c r="BR50" s="368">
        <f t="shared" si="4"/>
        <v>63226.99</v>
      </c>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70"/>
    </row>
    <row r="51" spans="1:105" s="274" customFormat="1" ht="39.950000000000003" customHeight="1">
      <c r="A51" s="362">
        <v>6</v>
      </c>
      <c r="B51" s="363"/>
      <c r="C51" s="363"/>
      <c r="D51" s="363"/>
      <c r="E51" s="363"/>
      <c r="F51" s="364"/>
      <c r="G51" s="365" t="s">
        <v>337</v>
      </c>
      <c r="H51" s="366"/>
      <c r="I51" s="366"/>
      <c r="J51" s="366"/>
      <c r="K51" s="366"/>
      <c r="L51" s="366"/>
      <c r="M51" s="366"/>
      <c r="N51" s="366"/>
      <c r="O51" s="366"/>
      <c r="P51" s="366"/>
      <c r="Q51" s="366"/>
      <c r="R51" s="366"/>
      <c r="S51" s="366"/>
      <c r="T51" s="366"/>
      <c r="U51" s="366"/>
      <c r="V51" s="366"/>
      <c r="W51" s="366"/>
      <c r="X51" s="366"/>
      <c r="Y51" s="366"/>
      <c r="Z51" s="366"/>
      <c r="AA51" s="366"/>
      <c r="AB51" s="366"/>
      <c r="AC51" s="366"/>
      <c r="AD51" s="367"/>
      <c r="AE51" s="368">
        <v>0</v>
      </c>
      <c r="AF51" s="369"/>
      <c r="AG51" s="369"/>
      <c r="AH51" s="369"/>
      <c r="AI51" s="369"/>
      <c r="AJ51" s="369"/>
      <c r="AK51" s="369"/>
      <c r="AL51" s="369"/>
      <c r="AM51" s="369"/>
      <c r="AN51" s="369"/>
      <c r="AO51" s="369"/>
      <c r="AP51" s="369"/>
      <c r="AQ51" s="369"/>
      <c r="AR51" s="369"/>
      <c r="AS51" s="369"/>
      <c r="AT51" s="369"/>
      <c r="AU51" s="369"/>
      <c r="AV51" s="369"/>
      <c r="AW51" s="369"/>
      <c r="AX51" s="369"/>
      <c r="AY51" s="370"/>
      <c r="AZ51" s="368">
        <v>153667.20000000001</v>
      </c>
      <c r="BA51" s="369"/>
      <c r="BB51" s="369"/>
      <c r="BC51" s="369"/>
      <c r="BD51" s="369"/>
      <c r="BE51" s="369"/>
      <c r="BF51" s="369"/>
      <c r="BG51" s="369"/>
      <c r="BH51" s="369"/>
      <c r="BI51" s="369"/>
      <c r="BJ51" s="369"/>
      <c r="BK51" s="369"/>
      <c r="BL51" s="369"/>
      <c r="BM51" s="369"/>
      <c r="BN51" s="369"/>
      <c r="BO51" s="369"/>
      <c r="BP51" s="369"/>
      <c r="BQ51" s="370"/>
      <c r="BR51" s="368">
        <f>AE51+AZ51</f>
        <v>153667.20000000001</v>
      </c>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70"/>
    </row>
    <row r="52" spans="1:105" s="274" customFormat="1" ht="39.950000000000003" customHeight="1">
      <c r="A52" s="362">
        <v>7</v>
      </c>
      <c r="B52" s="363"/>
      <c r="C52" s="363"/>
      <c r="D52" s="363"/>
      <c r="E52" s="363"/>
      <c r="F52" s="364"/>
      <c r="G52" s="365" t="s">
        <v>338</v>
      </c>
      <c r="H52" s="366"/>
      <c r="I52" s="366"/>
      <c r="J52" s="366"/>
      <c r="K52" s="366"/>
      <c r="L52" s="366"/>
      <c r="M52" s="366"/>
      <c r="N52" s="366"/>
      <c r="O52" s="366"/>
      <c r="P52" s="366"/>
      <c r="Q52" s="366"/>
      <c r="R52" s="366"/>
      <c r="S52" s="366"/>
      <c r="T52" s="366"/>
      <c r="U52" s="366"/>
      <c r="V52" s="366"/>
      <c r="W52" s="366"/>
      <c r="X52" s="366"/>
      <c r="Y52" s="366"/>
      <c r="Z52" s="366"/>
      <c r="AA52" s="366"/>
      <c r="AB52" s="366"/>
      <c r="AC52" s="366"/>
      <c r="AD52" s="367"/>
      <c r="AE52" s="368">
        <v>0</v>
      </c>
      <c r="AF52" s="369"/>
      <c r="AG52" s="369"/>
      <c r="AH52" s="369"/>
      <c r="AI52" s="369"/>
      <c r="AJ52" s="369"/>
      <c r="AK52" s="369"/>
      <c r="AL52" s="369"/>
      <c r="AM52" s="369"/>
      <c r="AN52" s="369"/>
      <c r="AO52" s="369"/>
      <c r="AP52" s="369"/>
      <c r="AQ52" s="369"/>
      <c r="AR52" s="369"/>
      <c r="AS52" s="369"/>
      <c r="AT52" s="369"/>
      <c r="AU52" s="369"/>
      <c r="AV52" s="369"/>
      <c r="AW52" s="369"/>
      <c r="AX52" s="369"/>
      <c r="AY52" s="370"/>
      <c r="AZ52" s="368">
        <v>0</v>
      </c>
      <c r="BA52" s="369"/>
      <c r="BB52" s="369"/>
      <c r="BC52" s="369"/>
      <c r="BD52" s="369"/>
      <c r="BE52" s="369"/>
      <c r="BF52" s="369"/>
      <c r="BG52" s="369"/>
      <c r="BH52" s="369"/>
      <c r="BI52" s="369"/>
      <c r="BJ52" s="369"/>
      <c r="BK52" s="369"/>
      <c r="BL52" s="369"/>
      <c r="BM52" s="369"/>
      <c r="BN52" s="369"/>
      <c r="BO52" s="369"/>
      <c r="BP52" s="369"/>
      <c r="BQ52" s="370"/>
      <c r="BR52" s="368">
        <f t="shared" si="4"/>
        <v>0</v>
      </c>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70"/>
    </row>
    <row r="53" spans="1:105" s="278" customFormat="1" ht="20.25" customHeight="1">
      <c r="A53" s="355"/>
      <c r="B53" s="355"/>
      <c r="C53" s="355"/>
      <c r="D53" s="355"/>
      <c r="E53" s="355"/>
      <c r="F53" s="355"/>
      <c r="G53" s="356" t="s">
        <v>310</v>
      </c>
      <c r="H53" s="356"/>
      <c r="I53" s="356"/>
      <c r="J53" s="356"/>
      <c r="K53" s="356"/>
      <c r="L53" s="356"/>
      <c r="M53" s="356"/>
      <c r="N53" s="356"/>
      <c r="O53" s="356"/>
      <c r="P53" s="356"/>
      <c r="Q53" s="356"/>
      <c r="R53" s="356"/>
      <c r="S53" s="356"/>
      <c r="T53" s="356"/>
      <c r="U53" s="356"/>
      <c r="V53" s="356"/>
      <c r="W53" s="356"/>
      <c r="X53" s="356"/>
      <c r="Y53" s="356"/>
      <c r="Z53" s="356"/>
      <c r="AA53" s="356"/>
      <c r="AB53" s="356"/>
      <c r="AC53" s="356"/>
      <c r="AD53" s="357"/>
      <c r="AE53" s="358" t="s">
        <v>3</v>
      </c>
      <c r="AF53" s="358"/>
      <c r="AG53" s="358"/>
      <c r="AH53" s="358"/>
      <c r="AI53" s="358"/>
      <c r="AJ53" s="358"/>
      <c r="AK53" s="358"/>
      <c r="AL53" s="358"/>
      <c r="AM53" s="358"/>
      <c r="AN53" s="358"/>
      <c r="AO53" s="358"/>
      <c r="AP53" s="358"/>
      <c r="AQ53" s="358"/>
      <c r="AR53" s="358"/>
      <c r="AS53" s="358"/>
      <c r="AT53" s="358"/>
      <c r="AU53" s="358"/>
      <c r="AV53" s="358"/>
      <c r="AW53" s="358"/>
      <c r="AX53" s="358"/>
      <c r="AY53" s="358"/>
      <c r="AZ53" s="358" t="s">
        <v>3</v>
      </c>
      <c r="BA53" s="358"/>
      <c r="BB53" s="358"/>
      <c r="BC53" s="358"/>
      <c r="BD53" s="358"/>
      <c r="BE53" s="358"/>
      <c r="BF53" s="358"/>
      <c r="BG53" s="358"/>
      <c r="BH53" s="358"/>
      <c r="BI53" s="358"/>
      <c r="BJ53" s="358"/>
      <c r="BK53" s="358"/>
      <c r="BL53" s="358"/>
      <c r="BM53" s="358"/>
      <c r="BN53" s="358"/>
      <c r="BO53" s="358"/>
      <c r="BP53" s="358"/>
      <c r="BQ53" s="358"/>
      <c r="BR53" s="359">
        <f>SUM(BR46:DA52)</f>
        <v>778763.3899999999</v>
      </c>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1"/>
    </row>
    <row r="54" spans="1:105" s="292" customFormat="1" ht="13.5" customHeight="1">
      <c r="A54" s="294"/>
      <c r="B54" s="294"/>
      <c r="C54" s="294"/>
      <c r="D54" s="294"/>
      <c r="E54" s="294"/>
      <c r="F54" s="294"/>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4"/>
      <c r="BX54" s="284"/>
      <c r="BY54" s="284"/>
      <c r="BZ54" s="284"/>
      <c r="CA54" s="284"/>
      <c r="CB54" s="284"/>
      <c r="CC54" s="284"/>
      <c r="CD54" s="284"/>
      <c r="CE54" s="284"/>
      <c r="CF54" s="284"/>
      <c r="CG54" s="284"/>
      <c r="CH54" s="284"/>
      <c r="CI54" s="284"/>
      <c r="CJ54" s="284"/>
      <c r="CK54" s="284"/>
      <c r="CL54" s="284"/>
      <c r="CM54" s="301"/>
      <c r="CN54" s="284"/>
      <c r="CO54" s="284"/>
      <c r="CP54" s="284"/>
      <c r="CQ54" s="284"/>
      <c r="CR54" s="284"/>
      <c r="CS54" s="284"/>
      <c r="CT54" s="284"/>
      <c r="CU54" s="284"/>
      <c r="CV54" s="284"/>
      <c r="CW54" s="284"/>
      <c r="CX54" s="284"/>
      <c r="CY54" s="284"/>
      <c r="CZ54" s="284"/>
      <c r="DA54" s="284"/>
    </row>
  </sheetData>
  <mergeCells count="296">
    <mergeCell ref="DZ1:GN1"/>
    <mergeCell ref="A3:GO3"/>
    <mergeCell ref="A4:BI4"/>
    <mergeCell ref="A5:GO5"/>
    <mergeCell ref="A7:U7"/>
    <mergeCell ref="X7:GO7"/>
    <mergeCell ref="A8:GO8"/>
    <mergeCell ref="A10:F12"/>
    <mergeCell ref="G10:X12"/>
    <mergeCell ref="Y10:AN12"/>
    <mergeCell ref="AO10:FI10"/>
    <mergeCell ref="FJ10:FY12"/>
    <mergeCell ref="FZ10:GP12"/>
    <mergeCell ref="AO11:BE12"/>
    <mergeCell ref="BF11:FI11"/>
    <mergeCell ref="BF12:BW12"/>
    <mergeCell ref="BX12:CO12"/>
    <mergeCell ref="CP12:DG12"/>
    <mergeCell ref="DH12:DY12"/>
    <mergeCell ref="DZ12:EQ12"/>
    <mergeCell ref="ER12:FI12"/>
    <mergeCell ref="A13:F13"/>
    <mergeCell ref="G13:X13"/>
    <mergeCell ref="Y13:AN13"/>
    <mergeCell ref="AO13:BE13"/>
    <mergeCell ref="BF13:BW13"/>
    <mergeCell ref="FZ13:GP13"/>
    <mergeCell ref="A14:F14"/>
    <mergeCell ref="G14:X14"/>
    <mergeCell ref="Y14:AN14"/>
    <mergeCell ref="AO14:BE14"/>
    <mergeCell ref="BF14:BW14"/>
    <mergeCell ref="BX14:CO14"/>
    <mergeCell ref="CP14:DG14"/>
    <mergeCell ref="DH14:DY14"/>
    <mergeCell ref="DZ14:EQ14"/>
    <mergeCell ref="BX13:CO13"/>
    <mergeCell ref="CP13:DG13"/>
    <mergeCell ref="DH13:DY13"/>
    <mergeCell ref="DZ13:EQ13"/>
    <mergeCell ref="ER13:FI13"/>
    <mergeCell ref="FJ13:FY13"/>
    <mergeCell ref="ER14:FI14"/>
    <mergeCell ref="FJ14:FY14"/>
    <mergeCell ref="FZ14:GP14"/>
    <mergeCell ref="AO16:BE16"/>
    <mergeCell ref="BF16:BW16"/>
    <mergeCell ref="BX16:CO16"/>
    <mergeCell ref="CP16:DG16"/>
    <mergeCell ref="BX15:CO15"/>
    <mergeCell ref="CP15:DG15"/>
    <mergeCell ref="GW14:GX14"/>
    <mergeCell ref="GY14:HA14"/>
    <mergeCell ref="A15:F15"/>
    <mergeCell ref="G15:X15"/>
    <mergeCell ref="Y15:AN15"/>
    <mergeCell ref="AO15:BE15"/>
    <mergeCell ref="BF15:BW15"/>
    <mergeCell ref="FZ15:GP15"/>
    <mergeCell ref="GW15:GX15"/>
    <mergeCell ref="GY15:HA15"/>
    <mergeCell ref="DH15:DY15"/>
    <mergeCell ref="DZ15:EQ15"/>
    <mergeCell ref="ER15:FI15"/>
    <mergeCell ref="FJ15:FY15"/>
    <mergeCell ref="GY16:HA16"/>
    <mergeCell ref="A17:F17"/>
    <mergeCell ref="G17:X17"/>
    <mergeCell ref="Y17:AN17"/>
    <mergeCell ref="AO17:BE17"/>
    <mergeCell ref="BF17:BW17"/>
    <mergeCell ref="BX17:CO17"/>
    <mergeCell ref="CP17:DG17"/>
    <mergeCell ref="DH17:DY17"/>
    <mergeCell ref="DZ17:EQ17"/>
    <mergeCell ref="DH16:DY16"/>
    <mergeCell ref="DZ16:EQ16"/>
    <mergeCell ref="ER16:FI16"/>
    <mergeCell ref="FJ16:FY16"/>
    <mergeCell ref="FZ16:GP16"/>
    <mergeCell ref="GW16:GX16"/>
    <mergeCell ref="ER17:FI17"/>
    <mergeCell ref="FJ17:FY17"/>
    <mergeCell ref="FZ17:GP17"/>
    <mergeCell ref="GW17:GX17"/>
    <mergeCell ref="GY17:HA17"/>
    <mergeCell ref="A16:F16"/>
    <mergeCell ref="G16:X16"/>
    <mergeCell ref="Y16:AN16"/>
    <mergeCell ref="A18:F18"/>
    <mergeCell ref="G18:X18"/>
    <mergeCell ref="Y18:AN18"/>
    <mergeCell ref="AO18:BE18"/>
    <mergeCell ref="BF18:BW18"/>
    <mergeCell ref="FZ18:GP18"/>
    <mergeCell ref="GW18:GX18"/>
    <mergeCell ref="GY18:HA18"/>
    <mergeCell ref="A19:F19"/>
    <mergeCell ref="G19:X19"/>
    <mergeCell ref="Y19:AN19"/>
    <mergeCell ref="AO19:BE19"/>
    <mergeCell ref="BF19:BW19"/>
    <mergeCell ref="BX19:CO19"/>
    <mergeCell ref="CP19:DG19"/>
    <mergeCell ref="BX18:CO18"/>
    <mergeCell ref="CP18:DG18"/>
    <mergeCell ref="DH18:DY18"/>
    <mergeCell ref="DZ18:EQ18"/>
    <mergeCell ref="ER18:FI18"/>
    <mergeCell ref="FJ18:FY18"/>
    <mergeCell ref="GY19:HA19"/>
    <mergeCell ref="DH19:DY19"/>
    <mergeCell ref="DZ19:EQ19"/>
    <mergeCell ref="GW19:GX19"/>
    <mergeCell ref="FJ20:FY20"/>
    <mergeCell ref="FZ20:GP20"/>
    <mergeCell ref="GW20:GX20"/>
    <mergeCell ref="GY20:HA20"/>
    <mergeCell ref="A21:F21"/>
    <mergeCell ref="G21:X21"/>
    <mergeCell ref="Y21:AN21"/>
    <mergeCell ref="AO21:BE21"/>
    <mergeCell ref="BF21:BW21"/>
    <mergeCell ref="BX21:CO21"/>
    <mergeCell ref="GY21:HA21"/>
    <mergeCell ref="CP21:DG21"/>
    <mergeCell ref="DH21:DY21"/>
    <mergeCell ref="DZ21:EQ21"/>
    <mergeCell ref="ER21:FI21"/>
    <mergeCell ref="FJ21:FY21"/>
    <mergeCell ref="FZ21:GP21"/>
    <mergeCell ref="A20:X20"/>
    <mergeCell ref="Y20:AN20"/>
    <mergeCell ref="AO20:BE20"/>
    <mergeCell ref="BF20:BW20"/>
    <mergeCell ref="BX20:CO20"/>
    <mergeCell ref="CP20:DG20"/>
    <mergeCell ref="AO22:BE22"/>
    <mergeCell ref="BF22:BW22"/>
    <mergeCell ref="BX22:CO22"/>
    <mergeCell ref="CP22:DG22"/>
    <mergeCell ref="DH22:DY22"/>
    <mergeCell ref="DZ22:EQ22"/>
    <mergeCell ref="ER19:FI19"/>
    <mergeCell ref="FJ19:FY19"/>
    <mergeCell ref="FZ19:GP19"/>
    <mergeCell ref="DH20:DY20"/>
    <mergeCell ref="DZ20:EQ20"/>
    <mergeCell ref="ER20:FI20"/>
    <mergeCell ref="BX24:CO24"/>
    <mergeCell ref="CP24:DG24"/>
    <mergeCell ref="DH24:DY24"/>
    <mergeCell ref="DZ24:EQ24"/>
    <mergeCell ref="ER22:FI22"/>
    <mergeCell ref="FJ22:FY22"/>
    <mergeCell ref="FZ22:GP22"/>
    <mergeCell ref="GY22:HA22"/>
    <mergeCell ref="A23:F23"/>
    <mergeCell ref="G23:X23"/>
    <mergeCell ref="Y23:AN23"/>
    <mergeCell ref="AO23:BE23"/>
    <mergeCell ref="BF23:BW23"/>
    <mergeCell ref="BX23:CO23"/>
    <mergeCell ref="GY23:HA23"/>
    <mergeCell ref="CP23:DG23"/>
    <mergeCell ref="DH23:DY23"/>
    <mergeCell ref="DZ23:EQ23"/>
    <mergeCell ref="ER23:FI23"/>
    <mergeCell ref="FJ23:FY23"/>
    <mergeCell ref="FZ23:GP23"/>
    <mergeCell ref="A22:F22"/>
    <mergeCell ref="G22:X22"/>
    <mergeCell ref="Y22:AN22"/>
    <mergeCell ref="DZ26:EQ26"/>
    <mergeCell ref="ER26:FI26"/>
    <mergeCell ref="ER24:FI24"/>
    <mergeCell ref="FJ24:FY24"/>
    <mergeCell ref="FZ24:GP24"/>
    <mergeCell ref="GY24:HA24"/>
    <mergeCell ref="A25:F25"/>
    <mergeCell ref="G25:X25"/>
    <mergeCell ref="Y25:AN25"/>
    <mergeCell ref="AO25:BE25"/>
    <mergeCell ref="BF25:BW25"/>
    <mergeCell ref="BX25:CO25"/>
    <mergeCell ref="GY25:HA25"/>
    <mergeCell ref="CP25:DG25"/>
    <mergeCell ref="DH25:DY25"/>
    <mergeCell ref="DZ25:EQ25"/>
    <mergeCell ref="ER25:FI25"/>
    <mergeCell ref="FJ25:FY25"/>
    <mergeCell ref="FZ25:GP25"/>
    <mergeCell ref="A24:F24"/>
    <mergeCell ref="G24:X24"/>
    <mergeCell ref="Y24:AN24"/>
    <mergeCell ref="AO24:BE24"/>
    <mergeCell ref="BF24:BW24"/>
    <mergeCell ref="ER27:FI27"/>
    <mergeCell ref="FJ27:FY27"/>
    <mergeCell ref="FZ27:GP27"/>
    <mergeCell ref="A28:BM28"/>
    <mergeCell ref="BN28:CL28"/>
    <mergeCell ref="A29:BM29"/>
    <mergeCell ref="BN29:CL29"/>
    <mergeCell ref="FJ26:FY26"/>
    <mergeCell ref="FZ26:GP26"/>
    <mergeCell ref="A27:X27"/>
    <mergeCell ref="Y27:AN27"/>
    <mergeCell ref="AO27:BE27"/>
    <mergeCell ref="BF27:BW27"/>
    <mergeCell ref="BX27:CO27"/>
    <mergeCell ref="CP27:DG27"/>
    <mergeCell ref="DH27:DY27"/>
    <mergeCell ref="DZ27:EQ27"/>
    <mergeCell ref="A26:X26"/>
    <mergeCell ref="Y26:AN26"/>
    <mergeCell ref="AO26:BE26"/>
    <mergeCell ref="BF26:BW26"/>
    <mergeCell ref="BX26:CO26"/>
    <mergeCell ref="CP26:DG26"/>
    <mergeCell ref="DH26:DY26"/>
    <mergeCell ref="A36:F36"/>
    <mergeCell ref="G36:BV36"/>
    <mergeCell ref="BW36:CL36"/>
    <mergeCell ref="CM36:DE36"/>
    <mergeCell ref="A37:F37"/>
    <mergeCell ref="H37:BV37"/>
    <mergeCell ref="BW37:CL37"/>
    <mergeCell ref="CM37:DE37"/>
    <mergeCell ref="FZ30:GP30"/>
    <mergeCell ref="A31:GO31"/>
    <mergeCell ref="A33:U33"/>
    <mergeCell ref="Y33:DA33"/>
    <mergeCell ref="A35:F35"/>
    <mergeCell ref="G35:BV35"/>
    <mergeCell ref="BW35:CL35"/>
    <mergeCell ref="CM35:DE35"/>
    <mergeCell ref="A40:BM40"/>
    <mergeCell ref="BN40:CL40"/>
    <mergeCell ref="A42:GO42"/>
    <mergeCell ref="A44:F44"/>
    <mergeCell ref="G44:AD44"/>
    <mergeCell ref="AE44:AY44"/>
    <mergeCell ref="AZ44:BQ44"/>
    <mergeCell ref="BR44:DA44"/>
    <mergeCell ref="A38:F38"/>
    <mergeCell ref="G38:BV38"/>
    <mergeCell ref="BW38:CL38"/>
    <mergeCell ref="CM38:DE38"/>
    <mergeCell ref="A39:BM39"/>
    <mergeCell ref="BN39:CL39"/>
    <mergeCell ref="A45:F45"/>
    <mergeCell ref="G45:AD45"/>
    <mergeCell ref="AE45:AY45"/>
    <mergeCell ref="AZ45:BQ45"/>
    <mergeCell ref="BR45:DA45"/>
    <mergeCell ref="A46:F46"/>
    <mergeCell ref="G46:AD46"/>
    <mergeCell ref="AE46:AY46"/>
    <mergeCell ref="AZ46:BQ46"/>
    <mergeCell ref="BR46:DA46"/>
    <mergeCell ref="A47:F47"/>
    <mergeCell ref="G47:AD47"/>
    <mergeCell ref="AE47:AY47"/>
    <mergeCell ref="AZ47:BQ47"/>
    <mergeCell ref="BR47:DA47"/>
    <mergeCell ref="A48:F48"/>
    <mergeCell ref="G48:AD48"/>
    <mergeCell ref="AE48:AY48"/>
    <mergeCell ref="AZ48:BQ48"/>
    <mergeCell ref="BR48:DA48"/>
    <mergeCell ref="A49:F49"/>
    <mergeCell ref="G49:AD49"/>
    <mergeCell ref="AE49:AY49"/>
    <mergeCell ref="AZ49:BQ49"/>
    <mergeCell ref="BR49:DA49"/>
    <mergeCell ref="A50:F50"/>
    <mergeCell ref="G50:AD50"/>
    <mergeCell ref="AE50:AY50"/>
    <mergeCell ref="AZ50:BQ50"/>
    <mergeCell ref="BR50:DA50"/>
    <mergeCell ref="A53:F53"/>
    <mergeCell ref="G53:AD53"/>
    <mergeCell ref="AE53:AY53"/>
    <mergeCell ref="AZ53:BQ53"/>
    <mergeCell ref="BR53:DA53"/>
    <mergeCell ref="A51:F51"/>
    <mergeCell ref="G51:AD51"/>
    <mergeCell ref="AE51:AY51"/>
    <mergeCell ref="AZ51:BQ51"/>
    <mergeCell ref="BR51:DA51"/>
    <mergeCell ref="A52:F52"/>
    <mergeCell ref="G52:AD52"/>
    <mergeCell ref="AE52:AY52"/>
    <mergeCell ref="AZ52:BQ52"/>
    <mergeCell ref="BR52:DA52"/>
  </mergeCells>
  <pageMargins left="1.4173228346456694" right="0.15748031496062992" top="0.23622047244094491" bottom="0.15748031496062992" header="0.23622047244094491" footer="0.1574803149606299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92D050"/>
  </sheetPr>
  <dimension ref="A1:DD311"/>
  <sheetViews>
    <sheetView tabSelected="1" view="pageBreakPreview" zoomScale="80" zoomScaleNormal="75" zoomScaleSheetLayoutView="80" workbookViewId="0">
      <pane xSplit="2" ySplit="3" topLeftCell="C15" activePane="bottomRight" state="frozen"/>
      <selection pane="topRight" activeCell="C1" sqref="C1"/>
      <selection pane="bottomLeft" activeCell="A4" sqref="A4"/>
      <selection pane="bottomRight" activeCell="I18" sqref="I18"/>
    </sheetView>
  </sheetViews>
  <sheetFormatPr defaultColWidth="0.85546875" defaultRowHeight="12.75"/>
  <cols>
    <col min="1" max="1" width="38.140625" style="3" customWidth="1"/>
    <col min="2" max="2" width="7.7109375" style="3" customWidth="1"/>
    <col min="3" max="3" width="26.5703125" style="3" customWidth="1"/>
    <col min="4" max="4" width="9.42578125" style="66" customWidth="1"/>
    <col min="5" max="5" width="20.5703125" style="3" hidden="1" customWidth="1"/>
    <col min="6" max="6" width="18" style="5" hidden="1" customWidth="1"/>
    <col min="7" max="7" width="17.85546875" style="3" customWidth="1"/>
    <col min="8" max="8" width="18.28515625" style="3" customWidth="1"/>
    <col min="9" max="9" width="18.42578125" style="3" customWidth="1"/>
    <col min="10" max="10" width="18.140625" style="3" customWidth="1"/>
    <col min="11" max="11" width="18.5703125" style="169" customWidth="1"/>
    <col min="12" max="12" width="17.42578125" style="3" customWidth="1"/>
    <col min="13" max="25" width="0.85546875" style="3"/>
    <col min="26" max="26" width="0.85546875" style="3" customWidth="1"/>
    <col min="27" max="30" width="0.85546875" style="3"/>
    <col min="31" max="31" width="0.85546875" style="3" customWidth="1"/>
    <col min="32" max="16384" width="0.85546875" style="3"/>
  </cols>
  <sheetData>
    <row r="1" spans="1:105" ht="15.75">
      <c r="A1" s="455" t="s">
        <v>59</v>
      </c>
      <c r="B1" s="455"/>
      <c r="C1" s="455"/>
      <c r="D1" s="455"/>
      <c r="E1" s="455"/>
      <c r="F1" s="455"/>
      <c r="G1" s="455"/>
      <c r="H1" s="455"/>
      <c r="I1" s="455"/>
      <c r="J1" s="455"/>
      <c r="K1" s="455"/>
    </row>
    <row r="2" spans="1:105" ht="23.25" customHeight="1">
      <c r="A2" s="71"/>
      <c r="B2" s="436" t="s">
        <v>1</v>
      </c>
      <c r="C2" s="439" t="s">
        <v>240</v>
      </c>
      <c r="D2" s="439" t="s">
        <v>241</v>
      </c>
      <c r="E2" s="436" t="s">
        <v>187</v>
      </c>
      <c r="F2" s="436"/>
      <c r="G2" s="436"/>
      <c r="H2" s="436"/>
      <c r="I2" s="436"/>
      <c r="J2" s="436"/>
      <c r="K2" s="436"/>
    </row>
    <row r="3" spans="1:105" ht="66" customHeight="1">
      <c r="A3" s="71" t="s">
        <v>0</v>
      </c>
      <c r="B3" s="436"/>
      <c r="C3" s="439"/>
      <c r="D3" s="439"/>
      <c r="E3" s="71" t="s">
        <v>174</v>
      </c>
      <c r="F3" s="161" t="s">
        <v>175</v>
      </c>
      <c r="G3" s="161" t="s">
        <v>347</v>
      </c>
      <c r="H3" s="304" t="s">
        <v>348</v>
      </c>
      <c r="I3" s="304" t="s">
        <v>349</v>
      </c>
      <c r="J3" s="304" t="s">
        <v>350</v>
      </c>
      <c r="K3" s="304" t="s">
        <v>351</v>
      </c>
    </row>
    <row r="4" spans="1:105" ht="15">
      <c r="A4" s="74">
        <v>1</v>
      </c>
      <c r="B4" s="74">
        <v>2</v>
      </c>
      <c r="C4" s="74">
        <v>3</v>
      </c>
      <c r="D4" s="74">
        <v>4</v>
      </c>
      <c r="E4" s="74">
        <v>5</v>
      </c>
      <c r="F4" s="162">
        <v>6</v>
      </c>
      <c r="G4" s="74">
        <v>7</v>
      </c>
      <c r="H4" s="74">
        <v>8</v>
      </c>
      <c r="I4" s="74">
        <v>9</v>
      </c>
      <c r="J4" s="74">
        <v>10</v>
      </c>
      <c r="K4" s="175">
        <v>10</v>
      </c>
    </row>
    <row r="5" spans="1:105" ht="34.5" customHeight="1">
      <c r="A5" s="33" t="s">
        <v>239</v>
      </c>
      <c r="B5" s="68" t="s">
        <v>91</v>
      </c>
      <c r="C5" s="71" t="s">
        <v>60</v>
      </c>
      <c r="D5" s="71" t="s">
        <v>60</v>
      </c>
      <c r="E5" s="72">
        <f t="shared" ref="E5:J5" si="0">SUM(E6:E8)</f>
        <v>7545104.8300000001</v>
      </c>
      <c r="F5" s="163">
        <f t="shared" si="0"/>
        <v>8442870</v>
      </c>
      <c r="G5" s="72">
        <f t="shared" si="0"/>
        <v>304869.2</v>
      </c>
      <c r="H5" s="72">
        <f t="shared" si="0"/>
        <v>0</v>
      </c>
      <c r="I5" s="72">
        <f t="shared" si="0"/>
        <v>0</v>
      </c>
      <c r="J5" s="72">
        <f t="shared" si="0"/>
        <v>0</v>
      </c>
      <c r="K5" s="174">
        <f t="shared" ref="K5" si="1">SUM(K6:K8)</f>
        <v>0</v>
      </c>
    </row>
    <row r="6" spans="1:105" ht="15" customHeight="1">
      <c r="A6" s="430" t="s">
        <v>114</v>
      </c>
      <c r="B6" s="436"/>
      <c r="C6" s="440" t="s">
        <v>3</v>
      </c>
      <c r="D6" s="436" t="s">
        <v>3</v>
      </c>
      <c r="E6" s="437">
        <v>604792.05000000005</v>
      </c>
      <c r="F6" s="421">
        <f>E11</f>
        <v>137110.13</v>
      </c>
      <c r="G6" s="435">
        <v>0</v>
      </c>
      <c r="H6" s="435">
        <v>0</v>
      </c>
      <c r="I6" s="435">
        <v>0</v>
      </c>
      <c r="J6" s="435">
        <v>0</v>
      </c>
      <c r="K6" s="435">
        <v>0</v>
      </c>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row>
    <row r="7" spans="1:105" ht="17.25" customHeight="1">
      <c r="A7" s="430"/>
      <c r="B7" s="436"/>
      <c r="C7" s="440"/>
      <c r="D7" s="436"/>
      <c r="E7" s="437"/>
      <c r="F7" s="421"/>
      <c r="G7" s="435"/>
      <c r="H7" s="435"/>
      <c r="I7" s="435"/>
      <c r="J7" s="435"/>
      <c r="K7" s="435"/>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row>
    <row r="8" spans="1:105" ht="30" customHeight="1">
      <c r="A8" s="73" t="s">
        <v>61</v>
      </c>
      <c r="B8" s="71"/>
      <c r="C8" s="68" t="s">
        <v>3</v>
      </c>
      <c r="D8" s="71" t="s">
        <v>3</v>
      </c>
      <c r="E8" s="75">
        <v>6940312.7800000003</v>
      </c>
      <c r="F8" s="163">
        <f>E13</f>
        <v>8305759.8700000001</v>
      </c>
      <c r="G8" s="72">
        <v>304869.2</v>
      </c>
      <c r="H8" s="72">
        <v>0</v>
      </c>
      <c r="I8" s="72">
        <v>0</v>
      </c>
      <c r="J8" s="72">
        <v>0</v>
      </c>
      <c r="K8" s="174">
        <v>0</v>
      </c>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row>
    <row r="9" spans="1:105" ht="30" customHeight="1">
      <c r="A9" s="73" t="s">
        <v>62</v>
      </c>
      <c r="B9" s="71"/>
      <c r="C9" s="68" t="s">
        <v>3</v>
      </c>
      <c r="D9" s="71" t="s">
        <v>3</v>
      </c>
      <c r="E9" s="75">
        <v>0</v>
      </c>
      <c r="F9" s="163">
        <v>0</v>
      </c>
      <c r="G9" s="72">
        <v>0</v>
      </c>
      <c r="H9" s="72">
        <v>0</v>
      </c>
      <c r="I9" s="72">
        <v>0</v>
      </c>
      <c r="J9" s="72">
        <v>0</v>
      </c>
      <c r="K9" s="174">
        <v>0</v>
      </c>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row>
    <row r="10" spans="1:105" ht="37.5" customHeight="1">
      <c r="A10" s="73" t="s">
        <v>238</v>
      </c>
      <c r="B10" s="68" t="s">
        <v>92</v>
      </c>
      <c r="C10" s="71" t="s">
        <v>60</v>
      </c>
      <c r="D10" s="71" t="s">
        <v>60</v>
      </c>
      <c r="E10" s="75">
        <f>SUM(E11:E13)</f>
        <v>8442870</v>
      </c>
      <c r="F10" s="163">
        <f t="shared" ref="F10:H10" si="2">SUM(F11:F13)</f>
        <v>0</v>
      </c>
      <c r="G10" s="72">
        <f t="shared" si="2"/>
        <v>0</v>
      </c>
      <c r="H10" s="72">
        <f t="shared" si="2"/>
        <v>0</v>
      </c>
      <c r="I10" s="72">
        <v>0</v>
      </c>
      <c r="J10" s="72">
        <v>0</v>
      </c>
      <c r="K10" s="174">
        <v>0</v>
      </c>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row>
    <row r="11" spans="1:105" ht="30" customHeight="1">
      <c r="A11" s="430" t="s">
        <v>111</v>
      </c>
      <c r="B11" s="436"/>
      <c r="C11" s="436" t="s">
        <v>3</v>
      </c>
      <c r="D11" s="436" t="s">
        <v>3</v>
      </c>
      <c r="E11" s="437">
        <f>137110.13</f>
        <v>137110.13</v>
      </c>
      <c r="F11" s="421">
        <v>0</v>
      </c>
      <c r="G11" s="435">
        <v>0</v>
      </c>
      <c r="H11" s="435">
        <v>0</v>
      </c>
      <c r="I11" s="435">
        <v>0</v>
      </c>
      <c r="J11" s="435">
        <v>0</v>
      </c>
      <c r="K11" s="435">
        <v>0</v>
      </c>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row>
    <row r="12" spans="1:105" ht="4.5" customHeight="1">
      <c r="A12" s="430"/>
      <c r="B12" s="436"/>
      <c r="C12" s="436"/>
      <c r="D12" s="436"/>
      <c r="E12" s="437"/>
      <c r="F12" s="421"/>
      <c r="G12" s="435"/>
      <c r="H12" s="435"/>
      <c r="I12" s="435"/>
      <c r="J12" s="435"/>
      <c r="K12" s="435"/>
      <c r="L12" s="193"/>
      <c r="M12" s="193"/>
      <c r="N12" s="193"/>
      <c r="O12" s="193"/>
      <c r="P12" s="193"/>
      <c r="Q12" s="425"/>
      <c r="R12" s="426"/>
      <c r="S12" s="426"/>
      <c r="T12" s="426"/>
      <c r="U12" s="426"/>
      <c r="V12" s="426"/>
      <c r="W12" s="426"/>
      <c r="X12" s="426"/>
      <c r="Y12" s="426"/>
      <c r="Z12" s="426"/>
      <c r="AA12" s="426"/>
      <c r="AB12" s="426"/>
      <c r="AC12" s="426"/>
      <c r="AD12" s="426"/>
      <c r="AE12" s="426"/>
      <c r="AF12" s="426"/>
      <c r="AG12" s="426"/>
      <c r="AH12" s="426"/>
      <c r="AI12" s="426"/>
      <c r="AJ12" s="426"/>
      <c r="AK12" s="426"/>
      <c r="AL12" s="426"/>
      <c r="AM12" s="427"/>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row>
    <row r="13" spans="1:105" ht="30" customHeight="1">
      <c r="A13" s="73" t="s">
        <v>61</v>
      </c>
      <c r="B13" s="71"/>
      <c r="C13" s="71" t="s">
        <v>3</v>
      </c>
      <c r="D13" s="71" t="s">
        <v>3</v>
      </c>
      <c r="E13" s="75">
        <v>8305759.8700000001</v>
      </c>
      <c r="F13" s="163">
        <v>0</v>
      </c>
      <c r="G13" s="72">
        <v>0</v>
      </c>
      <c r="H13" s="72">
        <v>0</v>
      </c>
      <c r="I13" s="72">
        <v>0</v>
      </c>
      <c r="J13" s="72">
        <v>0</v>
      </c>
      <c r="K13" s="174">
        <v>0</v>
      </c>
      <c r="L13" s="219"/>
      <c r="M13" s="425"/>
      <c r="N13" s="426"/>
      <c r="O13" s="426"/>
      <c r="P13" s="426"/>
      <c r="Q13" s="426"/>
      <c r="R13" s="426"/>
      <c r="S13" s="426"/>
      <c r="T13" s="426"/>
      <c r="U13" s="426"/>
      <c r="V13" s="426"/>
      <c r="W13" s="426"/>
      <c r="X13" s="426"/>
      <c r="Y13" s="426"/>
      <c r="Z13" s="426"/>
      <c r="AA13" s="426"/>
      <c r="AB13" s="426"/>
      <c r="AC13" s="426"/>
      <c r="AD13" s="426"/>
      <c r="AE13" s="426"/>
      <c r="AF13" s="426"/>
      <c r="AG13" s="426"/>
      <c r="AH13" s="426"/>
      <c r="AI13" s="427"/>
      <c r="AJ13" s="425"/>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7"/>
      <c r="BG13" s="425"/>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7"/>
      <c r="CD13" s="425"/>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7"/>
      <c r="DA13" s="193"/>
    </row>
    <row r="14" spans="1:105" ht="30" customHeight="1">
      <c r="A14" s="73" t="s">
        <v>62</v>
      </c>
      <c r="B14" s="71"/>
      <c r="C14" s="71" t="s">
        <v>3</v>
      </c>
      <c r="D14" s="71" t="s">
        <v>3</v>
      </c>
      <c r="E14" s="72">
        <f>F9</f>
        <v>0</v>
      </c>
      <c r="F14" s="163">
        <v>0</v>
      </c>
      <c r="G14" s="72">
        <v>0</v>
      </c>
      <c r="H14" s="72">
        <v>0</v>
      </c>
      <c r="I14" s="72">
        <v>0</v>
      </c>
      <c r="J14" s="72">
        <v>0</v>
      </c>
      <c r="K14" s="174">
        <v>0</v>
      </c>
      <c r="L14" s="219"/>
      <c r="M14" s="425"/>
      <c r="N14" s="426"/>
      <c r="O14" s="426"/>
      <c r="P14" s="426"/>
      <c r="Q14" s="426"/>
      <c r="R14" s="426"/>
      <c r="S14" s="426"/>
      <c r="T14" s="426"/>
      <c r="U14" s="426"/>
      <c r="V14" s="426"/>
      <c r="W14" s="426"/>
      <c r="X14" s="426"/>
      <c r="Y14" s="426"/>
      <c r="Z14" s="426"/>
      <c r="AA14" s="426"/>
      <c r="AB14" s="426"/>
      <c r="AC14" s="426"/>
      <c r="AD14" s="426"/>
      <c r="AE14" s="426"/>
      <c r="AF14" s="426"/>
      <c r="AG14" s="426"/>
      <c r="AH14" s="426"/>
      <c r="AI14" s="427"/>
      <c r="AJ14" s="425"/>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7"/>
      <c r="BG14" s="425"/>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7"/>
      <c r="CD14" s="425"/>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7"/>
      <c r="DA14" s="193"/>
    </row>
    <row r="15" spans="1:105" s="98" customFormat="1" ht="30" customHeight="1">
      <c r="A15" s="124" t="s">
        <v>63</v>
      </c>
      <c r="B15" s="125">
        <v>1000</v>
      </c>
      <c r="C15" s="125"/>
      <c r="D15" s="126"/>
      <c r="E15" s="121">
        <f t="shared" ref="E15:K15" si="3">SUM(E16:E22)+E49</f>
        <v>50279903.860000007</v>
      </c>
      <c r="F15" s="164">
        <f t="shared" si="3"/>
        <v>44476335.870000012</v>
      </c>
      <c r="G15" s="121">
        <f t="shared" si="3"/>
        <v>78677827.179999992</v>
      </c>
      <c r="H15" s="121">
        <f t="shared" si="3"/>
        <v>84689912.970000014</v>
      </c>
      <c r="I15" s="121">
        <f t="shared" si="3"/>
        <v>89027438.970000014</v>
      </c>
      <c r="J15" s="121">
        <f t="shared" si="3"/>
        <v>89027438.970000014</v>
      </c>
      <c r="K15" s="121">
        <f t="shared" si="3"/>
        <v>89027438.970000014</v>
      </c>
      <c r="L15" s="196"/>
      <c r="M15" s="461">
        <v>2023</v>
      </c>
      <c r="N15" s="462"/>
      <c r="O15" s="462"/>
      <c r="P15" s="462"/>
      <c r="Q15" s="462"/>
      <c r="R15" s="462"/>
      <c r="S15" s="462"/>
      <c r="T15" s="462"/>
      <c r="U15" s="462"/>
      <c r="V15" s="462"/>
      <c r="W15" s="462"/>
      <c r="X15" s="462"/>
      <c r="Y15" s="462"/>
      <c r="Z15" s="462"/>
      <c r="AA15" s="462"/>
      <c r="AB15" s="462"/>
      <c r="AC15" s="462"/>
      <c r="AD15" s="462"/>
      <c r="AE15" s="462"/>
      <c r="AF15" s="462"/>
      <c r="AG15" s="462"/>
      <c r="AH15" s="462"/>
      <c r="AI15" s="463"/>
      <c r="AJ15" s="461">
        <v>2024</v>
      </c>
      <c r="AK15" s="462"/>
      <c r="AL15" s="462"/>
      <c r="AM15" s="462"/>
      <c r="AN15" s="462"/>
      <c r="AO15" s="462"/>
      <c r="AP15" s="462"/>
      <c r="AQ15" s="462"/>
      <c r="AR15" s="462"/>
      <c r="AS15" s="462"/>
      <c r="AT15" s="462"/>
      <c r="AU15" s="462"/>
      <c r="AV15" s="462"/>
      <c r="AW15" s="462"/>
      <c r="AX15" s="462"/>
      <c r="AY15" s="462"/>
      <c r="AZ15" s="462"/>
      <c r="BA15" s="462"/>
      <c r="BB15" s="462"/>
      <c r="BC15" s="462"/>
      <c r="BD15" s="462"/>
      <c r="BE15" s="462"/>
      <c r="BF15" s="463"/>
      <c r="BG15" s="461">
        <v>2025</v>
      </c>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3"/>
      <c r="CD15" s="461">
        <v>2026</v>
      </c>
      <c r="CE15" s="462"/>
      <c r="CF15" s="462"/>
      <c r="CG15" s="462"/>
      <c r="CH15" s="462"/>
      <c r="CI15" s="462"/>
      <c r="CJ15" s="462"/>
      <c r="CK15" s="462"/>
      <c r="CL15" s="462"/>
      <c r="CM15" s="462"/>
      <c r="CN15" s="462"/>
      <c r="CO15" s="462"/>
      <c r="CP15" s="462"/>
      <c r="CQ15" s="462"/>
      <c r="CR15" s="462"/>
      <c r="CS15" s="462"/>
      <c r="CT15" s="462"/>
      <c r="CU15" s="462"/>
      <c r="CV15" s="462"/>
      <c r="CW15" s="462"/>
      <c r="CX15" s="462"/>
      <c r="CY15" s="462"/>
      <c r="CZ15" s="463"/>
      <c r="DA15" s="198"/>
    </row>
    <row r="16" spans="1:105" ht="19.5" customHeight="1">
      <c r="A16" s="444" t="s">
        <v>111</v>
      </c>
      <c r="B16" s="436"/>
      <c r="C16" s="443" t="s">
        <v>177</v>
      </c>
      <c r="D16" s="436">
        <v>131</v>
      </c>
      <c r="E16" s="435">
        <v>10491399.84</v>
      </c>
      <c r="F16" s="421">
        <v>6564385.1399999997</v>
      </c>
      <c r="G16" s="421">
        <v>7906449.2300000004</v>
      </c>
      <c r="H16" s="421">
        <v>8920341.2300000004</v>
      </c>
      <c r="I16" s="421">
        <v>8920341.2300000004</v>
      </c>
      <c r="J16" s="421">
        <f>I16</f>
        <v>8920341.2300000004</v>
      </c>
      <c r="K16" s="421">
        <f>J16</f>
        <v>8920341.2300000004</v>
      </c>
      <c r="L16" s="219">
        <v>62092.28</v>
      </c>
      <c r="M16" s="425">
        <f>G5+G15-G71</f>
        <v>0</v>
      </c>
      <c r="N16" s="426"/>
      <c r="O16" s="426"/>
      <c r="P16" s="426"/>
      <c r="Q16" s="426"/>
      <c r="R16" s="426"/>
      <c r="S16" s="426"/>
      <c r="T16" s="426"/>
      <c r="U16" s="426"/>
      <c r="V16" s="426"/>
      <c r="W16" s="426"/>
      <c r="X16" s="426"/>
      <c r="Y16" s="426"/>
      <c r="Z16" s="426"/>
      <c r="AA16" s="426"/>
      <c r="AB16" s="426"/>
      <c r="AC16" s="426"/>
      <c r="AD16" s="426"/>
      <c r="AE16" s="426"/>
      <c r="AF16" s="426"/>
      <c r="AG16" s="426"/>
      <c r="AH16" s="426"/>
      <c r="AI16" s="427"/>
      <c r="AJ16" s="425">
        <f>H5+H15-H71</f>
        <v>-3.5799890756607056E-3</v>
      </c>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7"/>
      <c r="BG16" s="425">
        <f>I5+I15-I71</f>
        <v>-1.1799931526184082E-3</v>
      </c>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7"/>
      <c r="CD16" s="425">
        <f>J5+J15-J71</f>
        <v>-1.1799931526184082E-3</v>
      </c>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7"/>
      <c r="DA16" s="193"/>
    </row>
    <row r="17" spans="1:108" ht="13.5" customHeight="1">
      <c r="A17" s="445"/>
      <c r="B17" s="436"/>
      <c r="C17" s="443"/>
      <c r="D17" s="436"/>
      <c r="E17" s="435"/>
      <c r="F17" s="421"/>
      <c r="G17" s="421"/>
      <c r="H17" s="421"/>
      <c r="I17" s="421"/>
      <c r="J17" s="421"/>
      <c r="K17" s="421"/>
      <c r="L17" s="297" t="s">
        <v>339</v>
      </c>
      <c r="M17" s="425"/>
      <c r="N17" s="426"/>
      <c r="O17" s="426"/>
      <c r="P17" s="426"/>
      <c r="Q17" s="426"/>
      <c r="R17" s="426"/>
      <c r="S17" s="426"/>
      <c r="T17" s="426"/>
      <c r="U17" s="426"/>
      <c r="V17" s="426"/>
      <c r="W17" s="426"/>
      <c r="X17" s="426"/>
      <c r="Y17" s="426"/>
      <c r="Z17" s="426"/>
      <c r="AA17" s="426"/>
      <c r="AB17" s="426"/>
      <c r="AC17" s="426"/>
      <c r="AD17" s="426"/>
      <c r="AE17" s="426"/>
      <c r="AF17" s="426"/>
      <c r="AG17" s="426"/>
      <c r="AH17" s="426"/>
      <c r="AI17" s="427"/>
      <c r="AJ17" s="425"/>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7"/>
      <c r="BG17" s="425"/>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7"/>
      <c r="CD17" s="425"/>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7"/>
      <c r="DA17" s="193"/>
    </row>
    <row r="18" spans="1:108" s="54" customFormat="1" ht="30" customHeight="1">
      <c r="A18" s="445"/>
      <c r="B18" s="71"/>
      <c r="C18" s="68" t="s">
        <v>179</v>
      </c>
      <c r="D18" s="71">
        <v>131</v>
      </c>
      <c r="E18" s="72">
        <v>110473.33</v>
      </c>
      <c r="F18" s="163">
        <f>8298.77+26408.37</f>
        <v>34707.14</v>
      </c>
      <c r="G18" s="214">
        <f>1146.59+27114.22</f>
        <v>28260.81</v>
      </c>
      <c r="H18" s="214">
        <f>1146.59+29123.24</f>
        <v>30269.83</v>
      </c>
      <c r="I18" s="303">
        <f>1146.59+33123.24</f>
        <v>34269.829999999994</v>
      </c>
      <c r="J18" s="214">
        <f t="shared" ref="J18:K21" si="4">I18</f>
        <v>34269.829999999994</v>
      </c>
      <c r="K18" s="214">
        <f t="shared" si="4"/>
        <v>34269.829999999994</v>
      </c>
      <c r="L18" s="219"/>
      <c r="M18" s="425"/>
      <c r="N18" s="426"/>
      <c r="O18" s="426"/>
      <c r="P18" s="426"/>
      <c r="Q18" s="426"/>
      <c r="R18" s="426"/>
      <c r="S18" s="426"/>
      <c r="T18" s="426"/>
      <c r="U18" s="426"/>
      <c r="V18" s="426"/>
      <c r="W18" s="426"/>
      <c r="X18" s="426"/>
      <c r="Y18" s="426"/>
      <c r="Z18" s="426"/>
      <c r="AA18" s="426"/>
      <c r="AB18" s="426"/>
      <c r="AC18" s="426"/>
      <c r="AD18" s="426"/>
      <c r="AE18" s="426"/>
      <c r="AF18" s="426"/>
      <c r="AG18" s="426"/>
      <c r="AH18" s="426"/>
      <c r="AI18" s="427"/>
      <c r="AJ18" s="425"/>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7"/>
      <c r="BG18" s="425"/>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7"/>
      <c r="CD18" s="425"/>
      <c r="CE18" s="426"/>
      <c r="CF18" s="426"/>
      <c r="CG18" s="426"/>
      <c r="CH18" s="426"/>
      <c r="CI18" s="426"/>
      <c r="CJ18" s="426"/>
      <c r="CK18" s="426"/>
      <c r="CL18" s="426"/>
      <c r="CM18" s="426"/>
      <c r="CN18" s="426"/>
      <c r="CO18" s="426"/>
      <c r="CP18" s="426"/>
      <c r="CQ18" s="426"/>
      <c r="CR18" s="426"/>
      <c r="CS18" s="426"/>
      <c r="CT18" s="426"/>
      <c r="CU18" s="426"/>
      <c r="CV18" s="426"/>
      <c r="CW18" s="426"/>
      <c r="CX18" s="426"/>
      <c r="CY18" s="426"/>
      <c r="CZ18" s="427"/>
      <c r="DA18" s="193"/>
    </row>
    <row r="19" spans="1:108" s="55" customFormat="1" ht="30" hidden="1" customHeight="1">
      <c r="A19" s="446"/>
      <c r="B19" s="71"/>
      <c r="C19" s="239" t="s">
        <v>273</v>
      </c>
      <c r="D19" s="71">
        <v>131</v>
      </c>
      <c r="E19" s="72">
        <v>0</v>
      </c>
      <c r="F19" s="163">
        <v>641869.46</v>
      </c>
      <c r="G19" s="214">
        <v>0</v>
      </c>
      <c r="H19" s="214">
        <v>0</v>
      </c>
      <c r="I19" s="214">
        <v>0</v>
      </c>
      <c r="J19" s="214">
        <f t="shared" si="4"/>
        <v>0</v>
      </c>
      <c r="K19" s="214">
        <f t="shared" si="4"/>
        <v>0</v>
      </c>
      <c r="L19" s="218"/>
      <c r="M19" s="425"/>
      <c r="N19" s="426"/>
      <c r="O19" s="426"/>
      <c r="P19" s="426"/>
      <c r="Q19" s="426"/>
      <c r="R19" s="426"/>
      <c r="S19" s="426"/>
      <c r="T19" s="426"/>
      <c r="U19" s="426"/>
      <c r="V19" s="426"/>
      <c r="W19" s="426"/>
      <c r="X19" s="426"/>
      <c r="Y19" s="426"/>
      <c r="Z19" s="426"/>
      <c r="AA19" s="426"/>
      <c r="AB19" s="426"/>
      <c r="AC19" s="426"/>
      <c r="AD19" s="426"/>
      <c r="AE19" s="426"/>
      <c r="AF19" s="426"/>
      <c r="AG19" s="426"/>
      <c r="AH19" s="426"/>
      <c r="AI19" s="427"/>
      <c r="AJ19" s="425"/>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7"/>
      <c r="BG19" s="425"/>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7"/>
      <c r="CD19" s="425"/>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7"/>
      <c r="DA19" s="218"/>
      <c r="DB19" s="218"/>
      <c r="DC19" s="218"/>
      <c r="DD19" s="218"/>
    </row>
    <row r="20" spans="1:108" ht="30" customHeight="1">
      <c r="A20" s="430" t="s">
        <v>61</v>
      </c>
      <c r="B20" s="71"/>
      <c r="C20" s="68" t="s">
        <v>178</v>
      </c>
      <c r="D20" s="71">
        <v>131</v>
      </c>
      <c r="E20" s="72">
        <v>29041478.960000001</v>
      </c>
      <c r="F20" s="163">
        <v>29357000</v>
      </c>
      <c r="G20" s="214">
        <v>54993650</v>
      </c>
      <c r="H20" s="214">
        <v>57178750</v>
      </c>
      <c r="I20" s="214">
        <v>60599250</v>
      </c>
      <c r="J20" s="214">
        <f t="shared" si="4"/>
        <v>60599250</v>
      </c>
      <c r="K20" s="214">
        <f t="shared" si="4"/>
        <v>60599250</v>
      </c>
      <c r="L20" s="218"/>
      <c r="M20" s="89"/>
      <c r="N20" s="89"/>
      <c r="O20" s="89"/>
      <c r="P20" s="89"/>
      <c r="Q20" s="89"/>
      <c r="R20" s="89"/>
      <c r="S20" s="89"/>
      <c r="T20" s="89"/>
      <c r="U20" s="89"/>
      <c r="V20" s="89"/>
      <c r="W20" s="89"/>
      <c r="X20" s="89"/>
      <c r="Y20" s="89"/>
      <c r="Z20" s="89"/>
      <c r="AA20" s="89"/>
      <c r="AB20" s="89"/>
      <c r="AC20" s="89"/>
      <c r="AD20" s="89"/>
      <c r="AE20" s="89"/>
      <c r="AF20" s="89"/>
      <c r="AG20" s="89"/>
      <c r="AH20" s="89"/>
      <c r="AI20" s="89"/>
      <c r="AJ20" s="425"/>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7"/>
      <c r="BG20" s="425"/>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7"/>
      <c r="CD20" s="425"/>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7"/>
      <c r="DA20" s="218"/>
      <c r="DB20" s="218"/>
      <c r="DC20" s="218"/>
      <c r="DD20" s="218"/>
    </row>
    <row r="21" spans="1:108" s="58" customFormat="1" ht="30" customHeight="1">
      <c r="A21" s="430"/>
      <c r="B21" s="71"/>
      <c r="C21" s="68" t="s">
        <v>180</v>
      </c>
      <c r="D21" s="71">
        <v>131</v>
      </c>
      <c r="E21" s="72">
        <v>2098982.04</v>
      </c>
      <c r="F21" s="163">
        <v>659435.52000000002</v>
      </c>
      <c r="G21" s="214">
        <v>2797819.87</v>
      </c>
      <c r="H21" s="214">
        <v>5705080.79</v>
      </c>
      <c r="I21" s="214">
        <v>6618106.79</v>
      </c>
      <c r="J21" s="214">
        <f t="shared" si="4"/>
        <v>6618106.79</v>
      </c>
      <c r="K21" s="214">
        <f t="shared" si="4"/>
        <v>6618106.79</v>
      </c>
      <c r="L21" s="218"/>
      <c r="M21" s="425"/>
      <c r="N21" s="426"/>
      <c r="O21" s="426"/>
      <c r="P21" s="426"/>
      <c r="Q21" s="426"/>
      <c r="R21" s="426"/>
      <c r="S21" s="426"/>
      <c r="T21" s="426"/>
      <c r="U21" s="426"/>
      <c r="V21" s="426"/>
      <c r="W21" s="426"/>
      <c r="X21" s="426"/>
      <c r="Y21" s="426"/>
      <c r="Z21" s="426"/>
      <c r="AA21" s="426"/>
      <c r="AB21" s="426"/>
      <c r="AC21" s="426"/>
      <c r="AD21" s="426"/>
      <c r="AE21" s="426"/>
      <c r="AF21" s="426"/>
      <c r="AG21" s="426"/>
      <c r="AH21" s="426"/>
      <c r="AI21" s="427"/>
      <c r="AJ21" s="425"/>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7"/>
      <c r="BG21" s="425"/>
      <c r="BH21" s="426"/>
      <c r="BI21" s="426"/>
      <c r="BJ21" s="426"/>
      <c r="BK21" s="426"/>
      <c r="BL21" s="426"/>
      <c r="BM21" s="426"/>
      <c r="BN21" s="426"/>
      <c r="BO21" s="426"/>
      <c r="BP21" s="426"/>
      <c r="BQ21" s="426"/>
      <c r="BR21" s="426"/>
      <c r="BS21" s="426"/>
      <c r="BT21" s="426"/>
      <c r="BU21" s="426"/>
      <c r="BV21" s="426"/>
      <c r="BW21" s="426"/>
      <c r="BX21" s="426"/>
      <c r="BY21" s="426"/>
      <c r="BZ21" s="426"/>
      <c r="CA21" s="426"/>
      <c r="CB21" s="426"/>
      <c r="CC21" s="427"/>
      <c r="CD21" s="425"/>
      <c r="CE21" s="426"/>
      <c r="CF21" s="426"/>
      <c r="CG21" s="426"/>
      <c r="CH21" s="426"/>
      <c r="CI21" s="426"/>
      <c r="CJ21" s="426"/>
      <c r="CK21" s="426"/>
      <c r="CL21" s="426"/>
      <c r="CM21" s="426"/>
      <c r="CN21" s="426"/>
      <c r="CO21" s="426"/>
      <c r="CP21" s="426"/>
      <c r="CQ21" s="426"/>
      <c r="CR21" s="426"/>
      <c r="CS21" s="426"/>
      <c r="CT21" s="426"/>
      <c r="CU21" s="426"/>
      <c r="CV21" s="426"/>
      <c r="CW21" s="426"/>
      <c r="CX21" s="426"/>
      <c r="CY21" s="426"/>
      <c r="CZ21" s="427"/>
      <c r="DA21" s="218"/>
      <c r="DB21" s="218"/>
      <c r="DC21" s="218"/>
      <c r="DD21" s="218"/>
    </row>
    <row r="22" spans="1:108" ht="30" customHeight="1">
      <c r="A22" s="73" t="s">
        <v>62</v>
      </c>
      <c r="B22" s="71"/>
      <c r="C22" s="68" t="s">
        <v>182</v>
      </c>
      <c r="D22" s="85">
        <v>131</v>
      </c>
      <c r="E22" s="72">
        <v>3724757.09</v>
      </c>
      <c r="F22" s="163">
        <v>3724757.09</v>
      </c>
      <c r="G22" s="214">
        <v>3684545.28</v>
      </c>
      <c r="H22" s="214">
        <v>3684545.28</v>
      </c>
      <c r="I22" s="214">
        <f>H22</f>
        <v>3684545.28</v>
      </c>
      <c r="J22" s="214">
        <f>H22</f>
        <v>3684545.28</v>
      </c>
      <c r="K22" s="214">
        <f>H22</f>
        <v>3684545.28</v>
      </c>
      <c r="L22" s="218"/>
      <c r="M22" s="425"/>
      <c r="N22" s="426"/>
      <c r="O22" s="426"/>
      <c r="P22" s="426"/>
      <c r="Q22" s="426"/>
      <c r="R22" s="426"/>
      <c r="S22" s="426"/>
      <c r="T22" s="426"/>
      <c r="U22" s="426"/>
      <c r="V22" s="426"/>
      <c r="W22" s="426"/>
      <c r="X22" s="426"/>
      <c r="Y22" s="426"/>
      <c r="Z22" s="426"/>
      <c r="AA22" s="426"/>
      <c r="AB22" s="426"/>
      <c r="AC22" s="426"/>
      <c r="AD22" s="426"/>
      <c r="AE22" s="426"/>
      <c r="AF22" s="426"/>
      <c r="AG22" s="426"/>
      <c r="AH22" s="426"/>
      <c r="AI22" s="427"/>
      <c r="AJ22" s="425"/>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7"/>
      <c r="BG22" s="425"/>
      <c r="BH22" s="426"/>
      <c r="BI22" s="426"/>
      <c r="BJ22" s="426"/>
      <c r="BK22" s="426"/>
      <c r="BL22" s="426"/>
      <c r="BM22" s="426"/>
      <c r="BN22" s="426"/>
      <c r="BO22" s="426"/>
      <c r="BP22" s="426"/>
      <c r="BQ22" s="426"/>
      <c r="BR22" s="426"/>
      <c r="BS22" s="426"/>
      <c r="BT22" s="426"/>
      <c r="BU22" s="426"/>
      <c r="BV22" s="426"/>
      <c r="BW22" s="426"/>
      <c r="BX22" s="426"/>
      <c r="BY22" s="426"/>
      <c r="BZ22" s="426"/>
      <c r="CA22" s="426"/>
      <c r="CB22" s="426"/>
      <c r="CC22" s="427"/>
      <c r="CD22" s="425"/>
      <c r="CE22" s="426"/>
      <c r="CF22" s="426"/>
      <c r="CG22" s="426"/>
      <c r="CH22" s="426"/>
      <c r="CI22" s="426"/>
      <c r="CJ22" s="426"/>
      <c r="CK22" s="426"/>
      <c r="CL22" s="426"/>
      <c r="CM22" s="426"/>
      <c r="CN22" s="426"/>
      <c r="CO22" s="426"/>
      <c r="CP22" s="426"/>
      <c r="CQ22" s="426"/>
      <c r="CR22" s="426"/>
      <c r="CS22" s="426"/>
      <c r="CT22" s="426"/>
      <c r="CU22" s="426"/>
      <c r="CV22" s="426"/>
      <c r="CW22" s="426"/>
      <c r="CX22" s="426"/>
      <c r="CY22" s="426"/>
      <c r="CZ22" s="427"/>
      <c r="DA22" s="218"/>
      <c r="DB22" s="218"/>
      <c r="DC22" s="218"/>
      <c r="DD22" s="218"/>
    </row>
    <row r="23" spans="1:108" ht="30" customHeight="1">
      <c r="A23" s="430" t="s">
        <v>112</v>
      </c>
      <c r="B23" s="436">
        <v>1100</v>
      </c>
      <c r="C23" s="436">
        <v>120</v>
      </c>
      <c r="D23" s="436"/>
      <c r="E23" s="435"/>
      <c r="F23" s="421"/>
      <c r="G23" s="421"/>
      <c r="H23" s="421"/>
      <c r="I23" s="421"/>
      <c r="J23" s="421"/>
      <c r="K23" s="421"/>
      <c r="L23" s="218"/>
      <c r="M23" s="425"/>
      <c r="N23" s="426"/>
      <c r="O23" s="426"/>
      <c r="P23" s="426"/>
      <c r="Q23" s="426"/>
      <c r="R23" s="426"/>
      <c r="S23" s="426"/>
      <c r="T23" s="426"/>
      <c r="U23" s="426"/>
      <c r="V23" s="426"/>
      <c r="W23" s="426"/>
      <c r="X23" s="426"/>
      <c r="Y23" s="426"/>
      <c r="Z23" s="426"/>
      <c r="AA23" s="426"/>
      <c r="AB23" s="426"/>
      <c r="AC23" s="426"/>
      <c r="AD23" s="426"/>
      <c r="AE23" s="426"/>
      <c r="AF23" s="426"/>
      <c r="AG23" s="426"/>
      <c r="AH23" s="426"/>
      <c r="AI23" s="427"/>
      <c r="AJ23" s="425"/>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7"/>
      <c r="BG23" s="425"/>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7"/>
      <c r="CD23" s="425"/>
      <c r="CE23" s="426"/>
      <c r="CF23" s="426"/>
      <c r="CG23" s="426"/>
      <c r="CH23" s="426"/>
      <c r="CI23" s="426"/>
      <c r="CJ23" s="426"/>
      <c r="CK23" s="426"/>
      <c r="CL23" s="426"/>
      <c r="CM23" s="426"/>
      <c r="CN23" s="426"/>
      <c r="CO23" s="426"/>
      <c r="CP23" s="426"/>
      <c r="CQ23" s="426"/>
      <c r="CR23" s="426"/>
      <c r="CS23" s="426"/>
      <c r="CT23" s="426"/>
      <c r="CU23" s="426"/>
      <c r="CV23" s="426"/>
      <c r="CW23" s="426"/>
      <c r="CX23" s="426"/>
      <c r="CY23" s="426"/>
      <c r="CZ23" s="427"/>
      <c r="DA23" s="218"/>
      <c r="DB23" s="218"/>
      <c r="DC23" s="218"/>
      <c r="DD23" s="218"/>
    </row>
    <row r="24" spans="1:108" ht="15.75" customHeight="1">
      <c r="A24" s="430"/>
      <c r="B24" s="436"/>
      <c r="C24" s="436"/>
      <c r="D24" s="436"/>
      <c r="E24" s="435"/>
      <c r="F24" s="421"/>
      <c r="G24" s="421"/>
      <c r="H24" s="421"/>
      <c r="I24" s="421"/>
      <c r="J24" s="421"/>
      <c r="K24" s="421"/>
      <c r="L24" s="218"/>
      <c r="M24" s="425"/>
      <c r="N24" s="426"/>
      <c r="O24" s="426"/>
      <c r="P24" s="426"/>
      <c r="Q24" s="426"/>
      <c r="R24" s="426"/>
      <c r="S24" s="426"/>
      <c r="T24" s="426"/>
      <c r="U24" s="426"/>
      <c r="V24" s="426"/>
      <c r="W24" s="426"/>
      <c r="X24" s="426"/>
      <c r="Y24" s="426"/>
      <c r="Z24" s="426"/>
      <c r="AA24" s="426"/>
      <c r="AB24" s="426"/>
      <c r="AC24" s="426"/>
      <c r="AD24" s="426"/>
      <c r="AE24" s="426"/>
      <c r="AF24" s="426"/>
      <c r="AG24" s="426"/>
      <c r="AH24" s="426"/>
      <c r="AI24" s="427"/>
      <c r="AJ24" s="425"/>
      <c r="AK24" s="426"/>
      <c r="AL24" s="426"/>
      <c r="AM24" s="426"/>
      <c r="AN24" s="426"/>
      <c r="AO24" s="426"/>
      <c r="AP24" s="426"/>
      <c r="AQ24" s="426"/>
      <c r="AR24" s="426"/>
      <c r="AS24" s="426"/>
      <c r="AT24" s="426"/>
      <c r="AU24" s="426"/>
      <c r="AV24" s="426"/>
      <c r="AW24" s="426"/>
      <c r="AX24" s="426"/>
      <c r="AY24" s="426"/>
      <c r="AZ24" s="426"/>
      <c r="BA24" s="426"/>
      <c r="BB24" s="426"/>
      <c r="BC24" s="426"/>
      <c r="BD24" s="426"/>
      <c r="BE24" s="426"/>
      <c r="BF24" s="427"/>
      <c r="BG24" s="425"/>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7"/>
      <c r="CD24" s="425"/>
      <c r="CE24" s="426"/>
      <c r="CF24" s="426"/>
      <c r="CG24" s="426"/>
      <c r="CH24" s="426"/>
      <c r="CI24" s="426"/>
      <c r="CJ24" s="426"/>
      <c r="CK24" s="426"/>
      <c r="CL24" s="426"/>
      <c r="CM24" s="426"/>
      <c r="CN24" s="426"/>
      <c r="CO24" s="426"/>
      <c r="CP24" s="426"/>
      <c r="CQ24" s="426"/>
      <c r="CR24" s="426"/>
      <c r="CS24" s="426"/>
      <c r="CT24" s="426"/>
      <c r="CU24" s="426"/>
      <c r="CV24" s="426"/>
      <c r="CW24" s="426"/>
      <c r="CX24" s="426"/>
      <c r="CY24" s="426"/>
      <c r="CZ24" s="427"/>
      <c r="DA24" s="218"/>
      <c r="DB24" s="218"/>
      <c r="DC24" s="218"/>
      <c r="DD24" s="218"/>
    </row>
    <row r="25" spans="1:108" ht="30" customHeight="1">
      <c r="A25" s="149" t="s">
        <v>230</v>
      </c>
      <c r="B25" s="71"/>
      <c r="C25" s="73"/>
      <c r="D25" s="71"/>
      <c r="E25" s="70"/>
      <c r="F25" s="165"/>
      <c r="G25" s="216"/>
      <c r="H25" s="216"/>
      <c r="I25" s="216"/>
      <c r="J25" s="216"/>
      <c r="K25" s="216"/>
      <c r="L25" s="218"/>
      <c r="M25" s="425"/>
      <c r="N25" s="426"/>
      <c r="O25" s="426"/>
      <c r="P25" s="426"/>
      <c r="Q25" s="426"/>
      <c r="R25" s="426"/>
      <c r="S25" s="426"/>
      <c r="T25" s="426"/>
      <c r="U25" s="426"/>
      <c r="V25" s="426"/>
      <c r="W25" s="426"/>
      <c r="X25" s="426"/>
      <c r="Y25" s="426"/>
      <c r="Z25" s="426"/>
      <c r="AA25" s="426"/>
      <c r="AB25" s="426"/>
      <c r="AC25" s="426"/>
      <c r="AD25" s="426"/>
      <c r="AE25" s="426"/>
      <c r="AF25" s="426"/>
      <c r="AG25" s="426"/>
      <c r="AH25" s="426"/>
      <c r="AI25" s="427"/>
      <c r="AJ25" s="425"/>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7"/>
      <c r="BG25" s="425"/>
      <c r="BH25" s="426"/>
      <c r="BI25" s="426"/>
      <c r="BJ25" s="426"/>
      <c r="BK25" s="426"/>
      <c r="BL25" s="426"/>
      <c r="BM25" s="426"/>
      <c r="BN25" s="426"/>
      <c r="BO25" s="426"/>
      <c r="BP25" s="426"/>
      <c r="BQ25" s="426"/>
      <c r="BR25" s="426"/>
      <c r="BS25" s="426"/>
      <c r="BT25" s="426"/>
      <c r="BU25" s="426"/>
      <c r="BV25" s="426"/>
      <c r="BW25" s="426"/>
      <c r="BX25" s="426"/>
      <c r="BY25" s="426"/>
      <c r="BZ25" s="426"/>
      <c r="CA25" s="426"/>
      <c r="CB25" s="426"/>
      <c r="CC25" s="427"/>
      <c r="CD25" s="425"/>
      <c r="CE25" s="426"/>
      <c r="CF25" s="426"/>
      <c r="CG25" s="426"/>
      <c r="CH25" s="426"/>
      <c r="CI25" s="426"/>
      <c r="CJ25" s="426"/>
      <c r="CK25" s="426"/>
      <c r="CL25" s="426"/>
      <c r="CM25" s="426"/>
      <c r="CN25" s="426"/>
      <c r="CO25" s="426"/>
      <c r="CP25" s="426"/>
      <c r="CQ25" s="426"/>
      <c r="CR25" s="426"/>
      <c r="CS25" s="426"/>
      <c r="CT25" s="426"/>
      <c r="CU25" s="426"/>
      <c r="CV25" s="426"/>
      <c r="CW25" s="426"/>
      <c r="CX25" s="426"/>
      <c r="CY25" s="426"/>
      <c r="CZ25" s="427"/>
      <c r="DA25" s="218"/>
      <c r="DB25" s="218"/>
      <c r="DC25" s="218"/>
      <c r="DD25" s="218"/>
    </row>
    <row r="26" spans="1:108" ht="15.75" customHeight="1">
      <c r="A26" s="28"/>
      <c r="B26" s="71"/>
      <c r="C26" s="73"/>
      <c r="D26" s="71"/>
      <c r="E26" s="70"/>
      <c r="F26" s="165"/>
      <c r="G26" s="216"/>
      <c r="H26" s="216"/>
      <c r="I26" s="216"/>
      <c r="J26" s="216"/>
      <c r="K26" s="216"/>
      <c r="L26" s="218"/>
      <c r="M26" s="425"/>
      <c r="N26" s="426"/>
      <c r="O26" s="426"/>
      <c r="P26" s="426"/>
      <c r="Q26" s="426"/>
      <c r="R26" s="426"/>
      <c r="S26" s="426"/>
      <c r="T26" s="426"/>
      <c r="U26" s="426"/>
      <c r="V26" s="426"/>
      <c r="W26" s="426"/>
      <c r="X26" s="426"/>
      <c r="Y26" s="426"/>
      <c r="Z26" s="426"/>
      <c r="AA26" s="426"/>
      <c r="AB26" s="426"/>
      <c r="AC26" s="426"/>
      <c r="AD26" s="426"/>
      <c r="AE26" s="426"/>
      <c r="AF26" s="426"/>
      <c r="AG26" s="426"/>
      <c r="AH26" s="426"/>
      <c r="AI26" s="427"/>
      <c r="AJ26" s="425"/>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7"/>
      <c r="BG26" s="425"/>
      <c r="BH26" s="426"/>
      <c r="BI26" s="426"/>
      <c r="BJ26" s="426"/>
      <c r="BK26" s="426"/>
      <c r="BL26" s="426"/>
      <c r="BM26" s="426"/>
      <c r="BN26" s="426"/>
      <c r="BO26" s="426"/>
      <c r="BP26" s="426"/>
      <c r="BQ26" s="426"/>
      <c r="BR26" s="426"/>
      <c r="BS26" s="426"/>
      <c r="BT26" s="426"/>
      <c r="BU26" s="426"/>
      <c r="BV26" s="426"/>
      <c r="BW26" s="426"/>
      <c r="BX26" s="426"/>
      <c r="BY26" s="426"/>
      <c r="BZ26" s="426"/>
      <c r="CA26" s="426"/>
      <c r="CB26" s="426"/>
      <c r="CC26" s="427"/>
      <c r="CD26" s="425"/>
      <c r="CE26" s="426"/>
      <c r="CF26" s="426"/>
      <c r="CG26" s="426"/>
      <c r="CH26" s="426"/>
      <c r="CI26" s="426"/>
      <c r="CJ26" s="426"/>
      <c r="CK26" s="426"/>
      <c r="CL26" s="426"/>
      <c r="CM26" s="426"/>
      <c r="CN26" s="426"/>
      <c r="CO26" s="426"/>
      <c r="CP26" s="426"/>
      <c r="CQ26" s="426"/>
      <c r="CR26" s="426"/>
      <c r="CS26" s="426"/>
      <c r="CT26" s="426"/>
      <c r="CU26" s="426"/>
      <c r="CV26" s="426"/>
      <c r="CW26" s="426"/>
      <c r="CX26" s="426"/>
      <c r="CY26" s="426"/>
      <c r="CZ26" s="427"/>
      <c r="DA26" s="218"/>
      <c r="DB26" s="218"/>
      <c r="DC26" s="218"/>
      <c r="DD26" s="218"/>
    </row>
    <row r="27" spans="1:108" ht="30" customHeight="1">
      <c r="A27" s="28" t="s">
        <v>64</v>
      </c>
      <c r="B27" s="71">
        <v>1110</v>
      </c>
      <c r="C27" s="73"/>
      <c r="D27" s="71"/>
      <c r="E27" s="70"/>
      <c r="F27" s="165"/>
      <c r="G27" s="216"/>
      <c r="H27" s="216"/>
      <c r="I27" s="216"/>
      <c r="J27" s="216"/>
      <c r="K27" s="216"/>
      <c r="L27" s="218"/>
      <c r="M27" s="425"/>
      <c r="N27" s="426"/>
      <c r="O27" s="426"/>
      <c r="P27" s="426"/>
      <c r="Q27" s="426"/>
      <c r="R27" s="426"/>
      <c r="S27" s="426"/>
      <c r="T27" s="426"/>
      <c r="U27" s="426"/>
      <c r="V27" s="426"/>
      <c r="W27" s="426"/>
      <c r="X27" s="426"/>
      <c r="Y27" s="426"/>
      <c r="Z27" s="426"/>
      <c r="AA27" s="426"/>
      <c r="AB27" s="426"/>
      <c r="AC27" s="426"/>
      <c r="AD27" s="426"/>
      <c r="AE27" s="426"/>
      <c r="AF27" s="426"/>
      <c r="AG27" s="426"/>
      <c r="AH27" s="426"/>
      <c r="AI27" s="427"/>
      <c r="AJ27" s="425"/>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7"/>
      <c r="BG27" s="425"/>
      <c r="BH27" s="426"/>
      <c r="BI27" s="426"/>
      <c r="BJ27" s="426"/>
      <c r="BK27" s="426"/>
      <c r="BL27" s="426"/>
      <c r="BM27" s="426"/>
      <c r="BN27" s="426"/>
      <c r="BO27" s="426"/>
      <c r="BP27" s="426"/>
      <c r="BQ27" s="426"/>
      <c r="BR27" s="426"/>
      <c r="BS27" s="426"/>
      <c r="BT27" s="426"/>
      <c r="BU27" s="426"/>
      <c r="BV27" s="426"/>
      <c r="BW27" s="426"/>
      <c r="BX27" s="426"/>
      <c r="BY27" s="426"/>
      <c r="BZ27" s="426"/>
      <c r="CA27" s="426"/>
      <c r="CB27" s="426"/>
      <c r="CC27" s="427"/>
      <c r="CD27" s="425"/>
      <c r="CE27" s="426"/>
      <c r="CF27" s="426"/>
      <c r="CG27" s="426"/>
      <c r="CH27" s="426"/>
      <c r="CI27" s="426"/>
      <c r="CJ27" s="426"/>
      <c r="CK27" s="426"/>
      <c r="CL27" s="426"/>
      <c r="CM27" s="426"/>
      <c r="CN27" s="426"/>
      <c r="CO27" s="426"/>
      <c r="CP27" s="426"/>
      <c r="CQ27" s="426"/>
      <c r="CR27" s="426"/>
      <c r="CS27" s="426"/>
      <c r="CT27" s="426"/>
      <c r="CU27" s="426"/>
      <c r="CV27" s="426"/>
      <c r="CW27" s="426"/>
      <c r="CX27" s="426"/>
      <c r="CY27" s="426"/>
      <c r="CZ27" s="427"/>
      <c r="DA27" s="218"/>
      <c r="DB27" s="218"/>
      <c r="DC27" s="218"/>
      <c r="DD27" s="218"/>
    </row>
    <row r="28" spans="1:108" ht="51" hidden="1" customHeight="1">
      <c r="A28" s="73" t="s">
        <v>93</v>
      </c>
      <c r="B28" s="71">
        <v>1200</v>
      </c>
      <c r="C28" s="71">
        <v>130</v>
      </c>
      <c r="D28" s="71"/>
      <c r="E28" s="70"/>
      <c r="F28" s="165"/>
      <c r="G28" s="216"/>
      <c r="H28" s="216"/>
      <c r="I28" s="216"/>
      <c r="J28" s="216"/>
      <c r="K28" s="216"/>
      <c r="L28" s="218"/>
      <c r="M28" s="425"/>
      <c r="N28" s="426"/>
      <c r="O28" s="426"/>
      <c r="P28" s="426"/>
      <c r="Q28" s="426"/>
      <c r="R28" s="426"/>
      <c r="S28" s="426"/>
      <c r="T28" s="426"/>
      <c r="U28" s="426"/>
      <c r="V28" s="426"/>
      <c r="W28" s="426"/>
      <c r="X28" s="426"/>
      <c r="Y28" s="426"/>
      <c r="Z28" s="426"/>
      <c r="AA28" s="426"/>
      <c r="AB28" s="426"/>
      <c r="AC28" s="426"/>
      <c r="AD28" s="426"/>
      <c r="AE28" s="426"/>
      <c r="AF28" s="426"/>
      <c r="AG28" s="426"/>
      <c r="AH28" s="426"/>
      <c r="AI28" s="427"/>
      <c r="AJ28" s="425"/>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7"/>
      <c r="BG28" s="425"/>
      <c r="BH28" s="426"/>
      <c r="BI28" s="426"/>
      <c r="BJ28" s="426"/>
      <c r="BK28" s="426"/>
      <c r="BL28" s="426"/>
      <c r="BM28" s="426"/>
      <c r="BN28" s="426"/>
      <c r="BO28" s="426"/>
      <c r="BP28" s="426"/>
      <c r="BQ28" s="426"/>
      <c r="BR28" s="426"/>
      <c r="BS28" s="426"/>
      <c r="BT28" s="426"/>
      <c r="BU28" s="426"/>
      <c r="BV28" s="426"/>
      <c r="BW28" s="426"/>
      <c r="BX28" s="426"/>
      <c r="BY28" s="426"/>
      <c r="BZ28" s="426"/>
      <c r="CA28" s="426"/>
      <c r="CB28" s="426"/>
      <c r="CC28" s="427"/>
      <c r="CD28" s="425"/>
      <c r="CE28" s="426"/>
      <c r="CF28" s="426"/>
      <c r="CG28" s="426"/>
      <c r="CH28" s="426"/>
      <c r="CI28" s="426"/>
      <c r="CJ28" s="426"/>
      <c r="CK28" s="426"/>
      <c r="CL28" s="426"/>
      <c r="CM28" s="426"/>
      <c r="CN28" s="426"/>
      <c r="CO28" s="426"/>
      <c r="CP28" s="426"/>
      <c r="CQ28" s="426"/>
      <c r="CR28" s="426"/>
      <c r="CS28" s="426"/>
      <c r="CT28" s="426"/>
      <c r="CU28" s="426"/>
      <c r="CV28" s="426"/>
      <c r="CW28" s="426"/>
      <c r="CX28" s="426"/>
      <c r="CY28" s="426"/>
      <c r="CZ28" s="427"/>
      <c r="DA28" s="218"/>
      <c r="DB28" s="218"/>
      <c r="DC28" s="218"/>
      <c r="DD28" s="218"/>
    </row>
    <row r="29" spans="1:108" ht="30" hidden="1" customHeight="1">
      <c r="A29" s="77" t="s">
        <v>65</v>
      </c>
      <c r="B29" s="76"/>
      <c r="C29" s="76"/>
      <c r="D29" s="76"/>
      <c r="E29" s="78"/>
      <c r="F29" s="165"/>
      <c r="G29" s="216"/>
      <c r="H29" s="216"/>
      <c r="I29" s="216"/>
      <c r="J29" s="216"/>
      <c r="K29" s="216"/>
      <c r="L29" s="218"/>
      <c r="M29" s="425"/>
      <c r="N29" s="426"/>
      <c r="O29" s="426"/>
      <c r="P29" s="426"/>
      <c r="Q29" s="426"/>
      <c r="R29" s="426"/>
      <c r="S29" s="426"/>
      <c r="T29" s="426"/>
      <c r="U29" s="426"/>
      <c r="V29" s="426"/>
      <c r="W29" s="426"/>
      <c r="X29" s="426"/>
      <c r="Y29" s="426"/>
      <c r="Z29" s="426"/>
      <c r="AA29" s="426"/>
      <c r="AB29" s="426"/>
      <c r="AC29" s="426"/>
      <c r="AD29" s="426"/>
      <c r="AE29" s="426"/>
      <c r="AF29" s="426"/>
      <c r="AG29" s="426"/>
      <c r="AH29" s="426"/>
      <c r="AI29" s="427"/>
      <c r="AJ29" s="425"/>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7"/>
      <c r="BG29" s="425"/>
      <c r="BH29" s="426"/>
      <c r="BI29" s="426"/>
      <c r="BJ29" s="426"/>
      <c r="BK29" s="426"/>
      <c r="BL29" s="426"/>
      <c r="BM29" s="426"/>
      <c r="BN29" s="426"/>
      <c r="BO29" s="426"/>
      <c r="BP29" s="426"/>
      <c r="BQ29" s="426"/>
      <c r="BR29" s="426"/>
      <c r="BS29" s="426"/>
      <c r="BT29" s="426"/>
      <c r="BU29" s="426"/>
      <c r="BV29" s="426"/>
      <c r="BW29" s="426"/>
      <c r="BX29" s="426"/>
      <c r="BY29" s="426"/>
      <c r="BZ29" s="426"/>
      <c r="CA29" s="426"/>
      <c r="CB29" s="426"/>
      <c r="CC29" s="427"/>
      <c r="CD29" s="425"/>
      <c r="CE29" s="426"/>
      <c r="CF29" s="426"/>
      <c r="CG29" s="426"/>
      <c r="CH29" s="426"/>
      <c r="CI29" s="426"/>
      <c r="CJ29" s="426"/>
      <c r="CK29" s="426"/>
      <c r="CL29" s="426"/>
      <c r="CM29" s="426"/>
      <c r="CN29" s="426"/>
      <c r="CO29" s="426"/>
      <c r="CP29" s="426"/>
      <c r="CQ29" s="426"/>
      <c r="CR29" s="426"/>
      <c r="CS29" s="426"/>
      <c r="CT29" s="426"/>
      <c r="CU29" s="426"/>
      <c r="CV29" s="426"/>
      <c r="CW29" s="426"/>
      <c r="CX29" s="426"/>
      <c r="CY29" s="426"/>
      <c r="CZ29" s="427"/>
      <c r="DA29" s="218"/>
      <c r="DB29" s="218"/>
      <c r="DC29" s="218"/>
      <c r="DD29" s="218"/>
    </row>
    <row r="30" spans="1:108" ht="20.25" hidden="1" customHeight="1">
      <c r="A30" s="29"/>
      <c r="B30" s="71"/>
      <c r="C30" s="71"/>
      <c r="D30" s="71"/>
      <c r="E30" s="70"/>
      <c r="F30" s="165"/>
      <c r="G30" s="216"/>
      <c r="H30" s="216"/>
      <c r="I30" s="216"/>
      <c r="J30" s="216"/>
      <c r="K30" s="216"/>
      <c r="L30" s="218"/>
      <c r="M30" s="425"/>
      <c r="N30" s="426"/>
      <c r="O30" s="426"/>
      <c r="P30" s="426"/>
      <c r="Q30" s="426"/>
      <c r="R30" s="426"/>
      <c r="S30" s="426"/>
      <c r="T30" s="426"/>
      <c r="U30" s="426"/>
      <c r="V30" s="426"/>
      <c r="W30" s="426"/>
      <c r="X30" s="426"/>
      <c r="Y30" s="426"/>
      <c r="Z30" s="426"/>
      <c r="AA30" s="426"/>
      <c r="AB30" s="426"/>
      <c r="AC30" s="426"/>
      <c r="AD30" s="426"/>
      <c r="AE30" s="426"/>
      <c r="AF30" s="426"/>
      <c r="AG30" s="426"/>
      <c r="AH30" s="426"/>
      <c r="AI30" s="427"/>
      <c r="AJ30" s="425"/>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7"/>
      <c r="BG30" s="425"/>
      <c r="BH30" s="426"/>
      <c r="BI30" s="426"/>
      <c r="BJ30" s="426"/>
      <c r="BK30" s="426"/>
      <c r="BL30" s="426"/>
      <c r="BM30" s="426"/>
      <c r="BN30" s="426"/>
      <c r="BO30" s="426"/>
      <c r="BP30" s="426"/>
      <c r="BQ30" s="426"/>
      <c r="BR30" s="426"/>
      <c r="BS30" s="426"/>
      <c r="BT30" s="426"/>
      <c r="BU30" s="426"/>
      <c r="BV30" s="426"/>
      <c r="BW30" s="426"/>
      <c r="BX30" s="426"/>
      <c r="BY30" s="426"/>
      <c r="BZ30" s="426"/>
      <c r="CA30" s="426"/>
      <c r="CB30" s="426"/>
      <c r="CC30" s="427"/>
      <c r="CD30" s="425"/>
      <c r="CE30" s="426"/>
      <c r="CF30" s="426"/>
      <c r="CG30" s="426"/>
      <c r="CH30" s="426"/>
      <c r="CI30" s="426"/>
      <c r="CJ30" s="426"/>
      <c r="CK30" s="426"/>
      <c r="CL30" s="426"/>
      <c r="CM30" s="426"/>
      <c r="CN30" s="426"/>
      <c r="CO30" s="426"/>
      <c r="CP30" s="426"/>
      <c r="CQ30" s="426"/>
      <c r="CR30" s="426"/>
      <c r="CS30" s="426"/>
      <c r="CT30" s="426"/>
      <c r="CU30" s="426"/>
      <c r="CV30" s="426"/>
      <c r="CW30" s="426"/>
      <c r="CX30" s="426"/>
      <c r="CY30" s="426"/>
      <c r="CZ30" s="427"/>
      <c r="DA30" s="218"/>
      <c r="DB30" s="218"/>
      <c r="DC30" s="218"/>
      <c r="DD30" s="218"/>
    </row>
    <row r="31" spans="1:108" ht="21" hidden="1" customHeight="1">
      <c r="A31" s="430" t="s">
        <v>113</v>
      </c>
      <c r="B31" s="436">
        <v>1210</v>
      </c>
      <c r="C31" s="436">
        <v>130</v>
      </c>
      <c r="D31" s="436"/>
      <c r="E31" s="442"/>
      <c r="F31" s="428"/>
      <c r="G31" s="428"/>
      <c r="H31" s="428"/>
      <c r="I31" s="428"/>
      <c r="J31" s="428"/>
      <c r="K31" s="428"/>
      <c r="L31" s="218"/>
      <c r="M31" s="425"/>
      <c r="N31" s="426"/>
      <c r="O31" s="426"/>
      <c r="P31" s="426"/>
      <c r="Q31" s="426"/>
      <c r="R31" s="426"/>
      <c r="S31" s="426"/>
      <c r="T31" s="426"/>
      <c r="U31" s="426"/>
      <c r="V31" s="426"/>
      <c r="W31" s="426"/>
      <c r="X31" s="426"/>
      <c r="Y31" s="426"/>
      <c r="Z31" s="426"/>
      <c r="AA31" s="426"/>
      <c r="AB31" s="426"/>
      <c r="AC31" s="426"/>
      <c r="AD31" s="426"/>
      <c r="AE31" s="426"/>
      <c r="AF31" s="426"/>
      <c r="AG31" s="426"/>
      <c r="AH31" s="426"/>
      <c r="AI31" s="427"/>
      <c r="AJ31" s="425"/>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7"/>
      <c r="BG31" s="425"/>
      <c r="BH31" s="426"/>
      <c r="BI31" s="426"/>
      <c r="BJ31" s="426"/>
      <c r="BK31" s="426"/>
      <c r="BL31" s="426"/>
      <c r="BM31" s="426"/>
      <c r="BN31" s="426"/>
      <c r="BO31" s="426"/>
      <c r="BP31" s="426"/>
      <c r="BQ31" s="426"/>
      <c r="BR31" s="426"/>
      <c r="BS31" s="426"/>
      <c r="BT31" s="426"/>
      <c r="BU31" s="426"/>
      <c r="BV31" s="426"/>
      <c r="BW31" s="426"/>
      <c r="BX31" s="426"/>
      <c r="BY31" s="426"/>
      <c r="BZ31" s="426"/>
      <c r="CA31" s="426"/>
      <c r="CB31" s="426"/>
      <c r="CC31" s="427"/>
      <c r="CD31" s="425"/>
      <c r="CE31" s="426"/>
      <c r="CF31" s="426"/>
      <c r="CG31" s="426"/>
      <c r="CH31" s="426"/>
      <c r="CI31" s="426"/>
      <c r="CJ31" s="426"/>
      <c r="CK31" s="426"/>
      <c r="CL31" s="426"/>
      <c r="CM31" s="426"/>
      <c r="CN31" s="426"/>
      <c r="CO31" s="426"/>
      <c r="CP31" s="426"/>
      <c r="CQ31" s="426"/>
      <c r="CR31" s="426"/>
      <c r="CS31" s="426"/>
      <c r="CT31" s="426"/>
      <c r="CU31" s="426"/>
      <c r="CV31" s="426"/>
      <c r="CW31" s="426"/>
      <c r="CX31" s="426"/>
      <c r="CY31" s="426"/>
      <c r="CZ31" s="427"/>
      <c r="DA31" s="218"/>
      <c r="DB31" s="218"/>
      <c r="DC31" s="218"/>
      <c r="DD31" s="218"/>
    </row>
    <row r="32" spans="1:108" ht="24.75" hidden="1" customHeight="1">
      <c r="A32" s="430"/>
      <c r="B32" s="436"/>
      <c r="C32" s="436"/>
      <c r="D32" s="436"/>
      <c r="E32" s="442"/>
      <c r="F32" s="428"/>
      <c r="G32" s="428"/>
      <c r="H32" s="428"/>
      <c r="I32" s="428"/>
      <c r="J32" s="428"/>
      <c r="K32" s="428"/>
      <c r="L32" s="218"/>
      <c r="M32" s="425"/>
      <c r="N32" s="426"/>
      <c r="O32" s="426"/>
      <c r="P32" s="426"/>
      <c r="Q32" s="426"/>
      <c r="R32" s="426"/>
      <c r="S32" s="426"/>
      <c r="T32" s="426"/>
      <c r="U32" s="426"/>
      <c r="V32" s="426"/>
      <c r="W32" s="426"/>
      <c r="X32" s="426"/>
      <c r="Y32" s="426"/>
      <c r="Z32" s="426"/>
      <c r="AA32" s="426"/>
      <c r="AB32" s="426"/>
      <c r="AC32" s="426"/>
      <c r="AD32" s="426"/>
      <c r="AE32" s="426"/>
      <c r="AF32" s="426"/>
      <c r="AG32" s="426"/>
      <c r="AH32" s="426"/>
      <c r="AI32" s="427"/>
      <c r="AJ32" s="425"/>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7"/>
      <c r="BG32" s="425"/>
      <c r="BH32" s="426"/>
      <c r="BI32" s="426"/>
      <c r="BJ32" s="426"/>
      <c r="BK32" s="426"/>
      <c r="BL32" s="426"/>
      <c r="BM32" s="426"/>
      <c r="BN32" s="426"/>
      <c r="BO32" s="426"/>
      <c r="BP32" s="426"/>
      <c r="BQ32" s="426"/>
      <c r="BR32" s="426"/>
      <c r="BS32" s="426"/>
      <c r="BT32" s="426"/>
      <c r="BU32" s="426"/>
      <c r="BV32" s="426"/>
      <c r="BW32" s="426"/>
      <c r="BX32" s="426"/>
      <c r="BY32" s="426"/>
      <c r="BZ32" s="426"/>
      <c r="CA32" s="426"/>
      <c r="CB32" s="426"/>
      <c r="CC32" s="427"/>
      <c r="CD32" s="425"/>
      <c r="CE32" s="426"/>
      <c r="CF32" s="426"/>
      <c r="CG32" s="426"/>
      <c r="CH32" s="426"/>
      <c r="CI32" s="426"/>
      <c r="CJ32" s="426"/>
      <c r="CK32" s="426"/>
      <c r="CL32" s="426"/>
      <c r="CM32" s="426"/>
      <c r="CN32" s="426"/>
      <c r="CO32" s="426"/>
      <c r="CP32" s="426"/>
      <c r="CQ32" s="426"/>
      <c r="CR32" s="426"/>
      <c r="CS32" s="426"/>
      <c r="CT32" s="426"/>
      <c r="CU32" s="426"/>
      <c r="CV32" s="426"/>
      <c r="CW32" s="426"/>
      <c r="CX32" s="426"/>
      <c r="CY32" s="426"/>
      <c r="CZ32" s="427"/>
      <c r="DA32" s="218"/>
      <c r="DB32" s="218"/>
      <c r="DC32" s="218"/>
      <c r="DD32" s="218"/>
    </row>
    <row r="33" spans="1:108" ht="20.25" hidden="1" customHeight="1">
      <c r="A33" s="430"/>
      <c r="B33" s="436"/>
      <c r="C33" s="436"/>
      <c r="D33" s="436"/>
      <c r="E33" s="442"/>
      <c r="F33" s="428"/>
      <c r="G33" s="428"/>
      <c r="H33" s="428"/>
      <c r="I33" s="428"/>
      <c r="J33" s="428"/>
      <c r="K33" s="428"/>
      <c r="L33" s="218"/>
      <c r="M33" s="425"/>
      <c r="N33" s="426"/>
      <c r="O33" s="426"/>
      <c r="P33" s="426"/>
      <c r="Q33" s="426"/>
      <c r="R33" s="426"/>
      <c r="S33" s="426"/>
      <c r="T33" s="426"/>
      <c r="U33" s="426"/>
      <c r="V33" s="426"/>
      <c r="W33" s="426"/>
      <c r="X33" s="426"/>
      <c r="Y33" s="426"/>
      <c r="Z33" s="426"/>
      <c r="AA33" s="426"/>
      <c r="AB33" s="426"/>
      <c r="AC33" s="426"/>
      <c r="AD33" s="426"/>
      <c r="AE33" s="426"/>
      <c r="AF33" s="426"/>
      <c r="AG33" s="426"/>
      <c r="AH33" s="426"/>
      <c r="AI33" s="427"/>
      <c r="AJ33" s="425"/>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7"/>
      <c r="BG33" s="425"/>
      <c r="BH33" s="426"/>
      <c r="BI33" s="426"/>
      <c r="BJ33" s="426"/>
      <c r="BK33" s="426"/>
      <c r="BL33" s="426"/>
      <c r="BM33" s="426"/>
      <c r="BN33" s="426"/>
      <c r="BO33" s="426"/>
      <c r="BP33" s="426"/>
      <c r="BQ33" s="426"/>
      <c r="BR33" s="426"/>
      <c r="BS33" s="426"/>
      <c r="BT33" s="426"/>
      <c r="BU33" s="426"/>
      <c r="BV33" s="426"/>
      <c r="BW33" s="426"/>
      <c r="BX33" s="426"/>
      <c r="BY33" s="426"/>
      <c r="BZ33" s="426"/>
      <c r="CA33" s="426"/>
      <c r="CB33" s="426"/>
      <c r="CC33" s="427"/>
      <c r="CD33" s="425"/>
      <c r="CE33" s="426"/>
      <c r="CF33" s="426"/>
      <c r="CG33" s="426"/>
      <c r="CH33" s="426"/>
      <c r="CI33" s="426"/>
      <c r="CJ33" s="426"/>
      <c r="CK33" s="426"/>
      <c r="CL33" s="426"/>
      <c r="CM33" s="426"/>
      <c r="CN33" s="426"/>
      <c r="CO33" s="426"/>
      <c r="CP33" s="426"/>
      <c r="CQ33" s="426"/>
      <c r="CR33" s="426"/>
      <c r="CS33" s="426"/>
      <c r="CT33" s="426"/>
      <c r="CU33" s="426"/>
      <c r="CV33" s="426"/>
      <c r="CW33" s="426"/>
      <c r="CX33" s="426"/>
      <c r="CY33" s="426"/>
      <c r="CZ33" s="427"/>
      <c r="DA33" s="218"/>
      <c r="DB33" s="218"/>
      <c r="DC33" s="218"/>
      <c r="DD33" s="218"/>
    </row>
    <row r="34" spans="1:108" ht="19.5" hidden="1" customHeight="1">
      <c r="A34" s="430"/>
      <c r="B34" s="436"/>
      <c r="C34" s="436"/>
      <c r="D34" s="436"/>
      <c r="E34" s="442"/>
      <c r="F34" s="428"/>
      <c r="G34" s="428"/>
      <c r="H34" s="428"/>
      <c r="I34" s="428"/>
      <c r="J34" s="428"/>
      <c r="K34" s="428"/>
      <c r="L34" s="218"/>
      <c r="M34" s="425"/>
      <c r="N34" s="426"/>
      <c r="O34" s="426"/>
      <c r="P34" s="426"/>
      <c r="Q34" s="426"/>
      <c r="R34" s="426"/>
      <c r="S34" s="426"/>
      <c r="T34" s="426"/>
      <c r="U34" s="426"/>
      <c r="V34" s="426"/>
      <c r="W34" s="426"/>
      <c r="X34" s="426"/>
      <c r="Y34" s="426"/>
      <c r="Z34" s="426"/>
      <c r="AA34" s="426"/>
      <c r="AB34" s="426"/>
      <c r="AC34" s="426"/>
      <c r="AD34" s="426"/>
      <c r="AE34" s="426"/>
      <c r="AF34" s="426"/>
      <c r="AG34" s="426"/>
      <c r="AH34" s="426"/>
      <c r="AI34" s="427"/>
      <c r="AJ34" s="425"/>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7"/>
      <c r="BG34" s="425"/>
      <c r="BH34" s="426"/>
      <c r="BI34" s="426"/>
      <c r="BJ34" s="426"/>
      <c r="BK34" s="426"/>
      <c r="BL34" s="426"/>
      <c r="BM34" s="426"/>
      <c r="BN34" s="426"/>
      <c r="BO34" s="426"/>
      <c r="BP34" s="426"/>
      <c r="BQ34" s="426"/>
      <c r="BR34" s="426"/>
      <c r="BS34" s="426"/>
      <c r="BT34" s="426"/>
      <c r="BU34" s="426"/>
      <c r="BV34" s="426"/>
      <c r="BW34" s="426"/>
      <c r="BX34" s="426"/>
      <c r="BY34" s="426"/>
      <c r="BZ34" s="426"/>
      <c r="CA34" s="426"/>
      <c r="CB34" s="426"/>
      <c r="CC34" s="427"/>
      <c r="CD34" s="425"/>
      <c r="CE34" s="426"/>
      <c r="CF34" s="426"/>
      <c r="CG34" s="426"/>
      <c r="CH34" s="426"/>
      <c r="CI34" s="426"/>
      <c r="CJ34" s="426"/>
      <c r="CK34" s="426"/>
      <c r="CL34" s="426"/>
      <c r="CM34" s="426"/>
      <c r="CN34" s="426"/>
      <c r="CO34" s="426"/>
      <c r="CP34" s="426"/>
      <c r="CQ34" s="426"/>
      <c r="CR34" s="426"/>
      <c r="CS34" s="426"/>
      <c r="CT34" s="426"/>
      <c r="CU34" s="426"/>
      <c r="CV34" s="426"/>
      <c r="CW34" s="426"/>
      <c r="CX34" s="426"/>
      <c r="CY34" s="426"/>
      <c r="CZ34" s="427"/>
      <c r="DA34" s="218"/>
      <c r="DB34" s="218"/>
      <c r="DC34" s="218"/>
      <c r="DD34" s="218"/>
    </row>
    <row r="35" spans="1:108" ht="26.25" hidden="1" customHeight="1">
      <c r="A35" s="430"/>
      <c r="B35" s="436"/>
      <c r="C35" s="436"/>
      <c r="D35" s="436"/>
      <c r="E35" s="442"/>
      <c r="F35" s="428"/>
      <c r="G35" s="428"/>
      <c r="H35" s="428"/>
      <c r="I35" s="428"/>
      <c r="J35" s="428"/>
      <c r="K35" s="428"/>
      <c r="L35" s="218"/>
      <c r="M35" s="425"/>
      <c r="N35" s="426"/>
      <c r="O35" s="426"/>
      <c r="P35" s="426"/>
      <c r="Q35" s="426"/>
      <c r="R35" s="426"/>
      <c r="S35" s="426"/>
      <c r="T35" s="426"/>
      <c r="U35" s="426"/>
      <c r="V35" s="426"/>
      <c r="W35" s="426"/>
      <c r="X35" s="426"/>
      <c r="Y35" s="426"/>
      <c r="Z35" s="426"/>
      <c r="AA35" s="426"/>
      <c r="AB35" s="426"/>
      <c r="AC35" s="426"/>
      <c r="AD35" s="426"/>
      <c r="AE35" s="426"/>
      <c r="AF35" s="426"/>
      <c r="AG35" s="426"/>
      <c r="AH35" s="426"/>
      <c r="AI35" s="427"/>
      <c r="AJ35" s="425"/>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7"/>
      <c r="BG35" s="425"/>
      <c r="BH35" s="426"/>
      <c r="BI35" s="426"/>
      <c r="BJ35" s="426"/>
      <c r="BK35" s="426"/>
      <c r="BL35" s="426"/>
      <c r="BM35" s="426"/>
      <c r="BN35" s="426"/>
      <c r="BO35" s="426"/>
      <c r="BP35" s="426"/>
      <c r="BQ35" s="426"/>
      <c r="BR35" s="426"/>
      <c r="BS35" s="426"/>
      <c r="BT35" s="426"/>
      <c r="BU35" s="426"/>
      <c r="BV35" s="426"/>
      <c r="BW35" s="426"/>
      <c r="BX35" s="426"/>
      <c r="BY35" s="426"/>
      <c r="BZ35" s="426"/>
      <c r="CA35" s="426"/>
      <c r="CB35" s="426"/>
      <c r="CC35" s="427"/>
      <c r="CD35" s="425"/>
      <c r="CE35" s="426"/>
      <c r="CF35" s="426"/>
      <c r="CG35" s="426"/>
      <c r="CH35" s="426"/>
      <c r="CI35" s="426"/>
      <c r="CJ35" s="426"/>
      <c r="CK35" s="426"/>
      <c r="CL35" s="426"/>
      <c r="CM35" s="426"/>
      <c r="CN35" s="426"/>
      <c r="CO35" s="426"/>
      <c r="CP35" s="426"/>
      <c r="CQ35" s="426"/>
      <c r="CR35" s="426"/>
      <c r="CS35" s="426"/>
      <c r="CT35" s="426"/>
      <c r="CU35" s="426"/>
      <c r="CV35" s="426"/>
      <c r="CW35" s="426"/>
      <c r="CX35" s="426"/>
      <c r="CY35" s="426"/>
      <c r="CZ35" s="427"/>
      <c r="DA35" s="218"/>
      <c r="DB35" s="218"/>
      <c r="DC35" s="218"/>
      <c r="DD35" s="218"/>
    </row>
    <row r="36" spans="1:108" ht="102" hidden="1" customHeight="1">
      <c r="A36" s="73" t="s">
        <v>94</v>
      </c>
      <c r="B36" s="71">
        <v>1220</v>
      </c>
      <c r="C36" s="71">
        <v>130</v>
      </c>
      <c r="D36" s="71"/>
      <c r="E36" s="70"/>
      <c r="F36" s="165"/>
      <c r="G36" s="216"/>
      <c r="H36" s="216"/>
      <c r="I36" s="216"/>
      <c r="J36" s="216"/>
      <c r="K36" s="216"/>
      <c r="L36" s="218"/>
      <c r="M36" s="425"/>
      <c r="N36" s="426"/>
      <c r="O36" s="426"/>
      <c r="P36" s="426"/>
      <c r="Q36" s="426"/>
      <c r="R36" s="426"/>
      <c r="S36" s="426"/>
      <c r="T36" s="426"/>
      <c r="U36" s="426"/>
      <c r="V36" s="426"/>
      <c r="W36" s="426"/>
      <c r="X36" s="426"/>
      <c r="Y36" s="426"/>
      <c r="Z36" s="426"/>
      <c r="AA36" s="426"/>
      <c r="AB36" s="426"/>
      <c r="AC36" s="426"/>
      <c r="AD36" s="426"/>
      <c r="AE36" s="426"/>
      <c r="AF36" s="426"/>
      <c r="AG36" s="426"/>
      <c r="AH36" s="426"/>
      <c r="AI36" s="427"/>
      <c r="AJ36" s="425"/>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7"/>
      <c r="BG36" s="425"/>
      <c r="BH36" s="426"/>
      <c r="BI36" s="426"/>
      <c r="BJ36" s="426"/>
      <c r="BK36" s="426"/>
      <c r="BL36" s="426"/>
      <c r="BM36" s="426"/>
      <c r="BN36" s="426"/>
      <c r="BO36" s="426"/>
      <c r="BP36" s="426"/>
      <c r="BQ36" s="426"/>
      <c r="BR36" s="426"/>
      <c r="BS36" s="426"/>
      <c r="BT36" s="426"/>
      <c r="BU36" s="426"/>
      <c r="BV36" s="426"/>
      <c r="BW36" s="426"/>
      <c r="BX36" s="426"/>
      <c r="BY36" s="426"/>
      <c r="BZ36" s="426"/>
      <c r="CA36" s="426"/>
      <c r="CB36" s="426"/>
      <c r="CC36" s="427"/>
      <c r="CD36" s="425"/>
      <c r="CE36" s="426"/>
      <c r="CF36" s="426"/>
      <c r="CG36" s="426"/>
      <c r="CH36" s="426"/>
      <c r="CI36" s="426"/>
      <c r="CJ36" s="426"/>
      <c r="CK36" s="426"/>
      <c r="CL36" s="426"/>
      <c r="CM36" s="426"/>
      <c r="CN36" s="426"/>
      <c r="CO36" s="426"/>
      <c r="CP36" s="426"/>
      <c r="CQ36" s="426"/>
      <c r="CR36" s="426"/>
      <c r="CS36" s="426"/>
      <c r="CT36" s="426"/>
      <c r="CU36" s="426"/>
      <c r="CV36" s="426"/>
      <c r="CW36" s="426"/>
      <c r="CX36" s="426"/>
      <c r="CY36" s="426"/>
      <c r="CZ36" s="427"/>
      <c r="DA36" s="218"/>
      <c r="DB36" s="218"/>
      <c r="DC36" s="218"/>
      <c r="DD36" s="218"/>
    </row>
    <row r="37" spans="1:108" ht="23.25" hidden="1" customHeight="1">
      <c r="A37" s="73"/>
      <c r="B37" s="73"/>
      <c r="C37" s="73"/>
      <c r="D37" s="71"/>
      <c r="E37" s="70"/>
      <c r="F37" s="165"/>
      <c r="G37" s="216"/>
      <c r="H37" s="216"/>
      <c r="I37" s="216"/>
      <c r="J37" s="216"/>
      <c r="K37" s="216"/>
      <c r="L37" s="218"/>
      <c r="M37" s="425"/>
      <c r="N37" s="426"/>
      <c r="O37" s="426"/>
      <c r="P37" s="426"/>
      <c r="Q37" s="426"/>
      <c r="R37" s="426"/>
      <c r="S37" s="426"/>
      <c r="T37" s="426"/>
      <c r="U37" s="426"/>
      <c r="V37" s="426"/>
      <c r="W37" s="426"/>
      <c r="X37" s="426"/>
      <c r="Y37" s="426"/>
      <c r="Z37" s="426"/>
      <c r="AA37" s="426"/>
      <c r="AB37" s="426"/>
      <c r="AC37" s="426"/>
      <c r="AD37" s="426"/>
      <c r="AE37" s="426"/>
      <c r="AF37" s="426"/>
      <c r="AG37" s="426"/>
      <c r="AH37" s="426"/>
      <c r="AI37" s="427"/>
      <c r="AJ37" s="425"/>
      <c r="AK37" s="426"/>
      <c r="AL37" s="426"/>
      <c r="AM37" s="426"/>
      <c r="AN37" s="426"/>
      <c r="AO37" s="426"/>
      <c r="AP37" s="426"/>
      <c r="AQ37" s="426"/>
      <c r="AR37" s="426"/>
      <c r="AS37" s="426"/>
      <c r="AT37" s="426"/>
      <c r="AU37" s="426"/>
      <c r="AV37" s="426"/>
      <c r="AW37" s="426"/>
      <c r="AX37" s="426"/>
      <c r="AY37" s="426"/>
      <c r="AZ37" s="426"/>
      <c r="BA37" s="426"/>
      <c r="BB37" s="426"/>
      <c r="BC37" s="426"/>
      <c r="BD37" s="426"/>
      <c r="BE37" s="426"/>
      <c r="BF37" s="427"/>
      <c r="BG37" s="425"/>
      <c r="BH37" s="426"/>
      <c r="BI37" s="426"/>
      <c r="BJ37" s="426"/>
      <c r="BK37" s="426"/>
      <c r="BL37" s="426"/>
      <c r="BM37" s="426"/>
      <c r="BN37" s="426"/>
      <c r="BO37" s="426"/>
      <c r="BP37" s="426"/>
      <c r="BQ37" s="426"/>
      <c r="BR37" s="426"/>
      <c r="BS37" s="426"/>
      <c r="BT37" s="426"/>
      <c r="BU37" s="426"/>
      <c r="BV37" s="426"/>
      <c r="BW37" s="426"/>
      <c r="BX37" s="426"/>
      <c r="BY37" s="426"/>
      <c r="BZ37" s="426"/>
      <c r="CA37" s="426"/>
      <c r="CB37" s="426"/>
      <c r="CC37" s="427"/>
      <c r="CD37" s="425"/>
      <c r="CE37" s="426"/>
      <c r="CF37" s="426"/>
      <c r="CG37" s="426"/>
      <c r="CH37" s="426"/>
      <c r="CI37" s="426"/>
      <c r="CJ37" s="426"/>
      <c r="CK37" s="426"/>
      <c r="CL37" s="426"/>
      <c r="CM37" s="426"/>
      <c r="CN37" s="426"/>
      <c r="CO37" s="426"/>
      <c r="CP37" s="426"/>
      <c r="CQ37" s="426"/>
      <c r="CR37" s="426"/>
      <c r="CS37" s="426"/>
      <c r="CT37" s="426"/>
      <c r="CU37" s="426"/>
      <c r="CV37" s="426"/>
      <c r="CW37" s="426"/>
      <c r="CX37" s="426"/>
      <c r="CY37" s="426"/>
      <c r="CZ37" s="427"/>
      <c r="DA37" s="218"/>
      <c r="DB37" s="218"/>
      <c r="DC37" s="218"/>
      <c r="DD37" s="218"/>
    </row>
    <row r="38" spans="1:108" ht="48" hidden="1" customHeight="1">
      <c r="A38" s="73" t="s">
        <v>66</v>
      </c>
      <c r="B38" s="71">
        <v>1300</v>
      </c>
      <c r="C38" s="71">
        <v>140</v>
      </c>
      <c r="D38" s="71"/>
      <c r="E38" s="70"/>
      <c r="F38" s="165"/>
      <c r="G38" s="216"/>
      <c r="H38" s="216"/>
      <c r="I38" s="216"/>
      <c r="J38" s="216"/>
      <c r="K38" s="216"/>
      <c r="L38" s="218"/>
      <c r="M38" s="425"/>
      <c r="N38" s="426"/>
      <c r="O38" s="426"/>
      <c r="P38" s="426"/>
      <c r="Q38" s="426"/>
      <c r="R38" s="426"/>
      <c r="S38" s="426"/>
      <c r="T38" s="426"/>
      <c r="U38" s="426"/>
      <c r="V38" s="426"/>
      <c r="W38" s="426"/>
      <c r="X38" s="426"/>
      <c r="Y38" s="426"/>
      <c r="Z38" s="426"/>
      <c r="AA38" s="426"/>
      <c r="AB38" s="426"/>
      <c r="AC38" s="426"/>
      <c r="AD38" s="426"/>
      <c r="AE38" s="426"/>
      <c r="AF38" s="426"/>
      <c r="AG38" s="426"/>
      <c r="AH38" s="426"/>
      <c r="AI38" s="427"/>
      <c r="AJ38" s="425"/>
      <c r="AK38" s="426"/>
      <c r="AL38" s="426"/>
      <c r="AM38" s="426"/>
      <c r="AN38" s="426"/>
      <c r="AO38" s="426"/>
      <c r="AP38" s="426"/>
      <c r="AQ38" s="426"/>
      <c r="AR38" s="426"/>
      <c r="AS38" s="426"/>
      <c r="AT38" s="426"/>
      <c r="AU38" s="426"/>
      <c r="AV38" s="426"/>
      <c r="AW38" s="426"/>
      <c r="AX38" s="426"/>
      <c r="AY38" s="426"/>
      <c r="AZ38" s="426"/>
      <c r="BA38" s="426"/>
      <c r="BB38" s="426"/>
      <c r="BC38" s="426"/>
      <c r="BD38" s="426"/>
      <c r="BE38" s="426"/>
      <c r="BF38" s="427"/>
      <c r="BG38" s="425"/>
      <c r="BH38" s="426"/>
      <c r="BI38" s="426"/>
      <c r="BJ38" s="426"/>
      <c r="BK38" s="426"/>
      <c r="BL38" s="426"/>
      <c r="BM38" s="426"/>
      <c r="BN38" s="426"/>
      <c r="BO38" s="426"/>
      <c r="BP38" s="426"/>
      <c r="BQ38" s="426"/>
      <c r="BR38" s="426"/>
      <c r="BS38" s="426"/>
      <c r="BT38" s="426"/>
      <c r="BU38" s="426"/>
      <c r="BV38" s="426"/>
      <c r="BW38" s="426"/>
      <c r="BX38" s="426"/>
      <c r="BY38" s="426"/>
      <c r="BZ38" s="426"/>
      <c r="CA38" s="426"/>
      <c r="CB38" s="426"/>
      <c r="CC38" s="427"/>
      <c r="CD38" s="425"/>
      <c r="CE38" s="426"/>
      <c r="CF38" s="426"/>
      <c r="CG38" s="426"/>
      <c r="CH38" s="426"/>
      <c r="CI38" s="426"/>
      <c r="CJ38" s="426"/>
      <c r="CK38" s="426"/>
      <c r="CL38" s="426"/>
      <c r="CM38" s="426"/>
      <c r="CN38" s="426"/>
      <c r="CO38" s="426"/>
      <c r="CP38" s="426"/>
      <c r="CQ38" s="426"/>
      <c r="CR38" s="426"/>
      <c r="CS38" s="426"/>
      <c r="CT38" s="426"/>
      <c r="CU38" s="426"/>
      <c r="CV38" s="426"/>
      <c r="CW38" s="426"/>
      <c r="CX38" s="426"/>
      <c r="CY38" s="426"/>
      <c r="CZ38" s="427"/>
      <c r="DA38" s="218"/>
      <c r="DB38" s="218"/>
      <c r="DC38" s="218"/>
      <c r="DD38" s="218"/>
    </row>
    <row r="39" spans="1:108" ht="30" hidden="1" customHeight="1">
      <c r="A39" s="77" t="s">
        <v>65</v>
      </c>
      <c r="B39" s="76"/>
      <c r="C39" s="76"/>
      <c r="D39" s="76"/>
      <c r="E39" s="78"/>
      <c r="F39" s="165"/>
      <c r="G39" s="216"/>
      <c r="H39" s="216"/>
      <c r="I39" s="216"/>
      <c r="J39" s="216"/>
      <c r="K39" s="216"/>
      <c r="L39" s="218"/>
      <c r="M39" s="425"/>
      <c r="N39" s="426"/>
      <c r="O39" s="426"/>
      <c r="P39" s="426"/>
      <c r="Q39" s="426"/>
      <c r="R39" s="426"/>
      <c r="S39" s="426"/>
      <c r="T39" s="426"/>
      <c r="U39" s="426"/>
      <c r="V39" s="426"/>
      <c r="W39" s="426"/>
      <c r="X39" s="426"/>
      <c r="Y39" s="426"/>
      <c r="Z39" s="426"/>
      <c r="AA39" s="426"/>
      <c r="AB39" s="426"/>
      <c r="AC39" s="426"/>
      <c r="AD39" s="426"/>
      <c r="AE39" s="426"/>
      <c r="AF39" s="426"/>
      <c r="AG39" s="426"/>
      <c r="AH39" s="426"/>
      <c r="AI39" s="427"/>
      <c r="AJ39" s="425"/>
      <c r="AK39" s="426"/>
      <c r="AL39" s="426"/>
      <c r="AM39" s="426"/>
      <c r="AN39" s="426"/>
      <c r="AO39" s="426"/>
      <c r="AP39" s="426"/>
      <c r="AQ39" s="426"/>
      <c r="AR39" s="426"/>
      <c r="AS39" s="426"/>
      <c r="AT39" s="426"/>
      <c r="AU39" s="426"/>
      <c r="AV39" s="426"/>
      <c r="AW39" s="426"/>
      <c r="AX39" s="426"/>
      <c r="AY39" s="426"/>
      <c r="AZ39" s="426"/>
      <c r="BA39" s="426"/>
      <c r="BB39" s="426"/>
      <c r="BC39" s="426"/>
      <c r="BD39" s="426"/>
      <c r="BE39" s="426"/>
      <c r="BF39" s="427"/>
      <c r="BG39" s="425"/>
      <c r="BH39" s="426"/>
      <c r="BI39" s="426"/>
      <c r="BJ39" s="426"/>
      <c r="BK39" s="426"/>
      <c r="BL39" s="426"/>
      <c r="BM39" s="426"/>
      <c r="BN39" s="426"/>
      <c r="BO39" s="426"/>
      <c r="BP39" s="426"/>
      <c r="BQ39" s="426"/>
      <c r="BR39" s="426"/>
      <c r="BS39" s="426"/>
      <c r="BT39" s="426"/>
      <c r="BU39" s="426"/>
      <c r="BV39" s="426"/>
      <c r="BW39" s="426"/>
      <c r="BX39" s="426"/>
      <c r="BY39" s="426"/>
      <c r="BZ39" s="426"/>
      <c r="CA39" s="426"/>
      <c r="CB39" s="426"/>
      <c r="CC39" s="427"/>
      <c r="CD39" s="425"/>
      <c r="CE39" s="426"/>
      <c r="CF39" s="426"/>
      <c r="CG39" s="426"/>
      <c r="CH39" s="426"/>
      <c r="CI39" s="426"/>
      <c r="CJ39" s="426"/>
      <c r="CK39" s="426"/>
      <c r="CL39" s="426"/>
      <c r="CM39" s="426"/>
      <c r="CN39" s="426"/>
      <c r="CO39" s="426"/>
      <c r="CP39" s="426"/>
      <c r="CQ39" s="426"/>
      <c r="CR39" s="426"/>
      <c r="CS39" s="426"/>
      <c r="CT39" s="426"/>
      <c r="CU39" s="426"/>
      <c r="CV39" s="426"/>
      <c r="CW39" s="426"/>
      <c r="CX39" s="426"/>
      <c r="CY39" s="426"/>
      <c r="CZ39" s="427"/>
      <c r="DA39" s="218"/>
      <c r="DB39" s="218"/>
      <c r="DC39" s="218"/>
      <c r="DD39" s="218"/>
    </row>
    <row r="40" spans="1:108" ht="18" hidden="1" customHeight="1">
      <c r="A40" s="77"/>
      <c r="B40" s="76"/>
      <c r="C40" s="76"/>
      <c r="D40" s="76"/>
      <c r="E40" s="78"/>
      <c r="F40" s="165"/>
      <c r="G40" s="216"/>
      <c r="H40" s="216"/>
      <c r="I40" s="216"/>
      <c r="J40" s="216"/>
      <c r="K40" s="216"/>
      <c r="L40" s="218"/>
      <c r="M40" s="425"/>
      <c r="N40" s="426"/>
      <c r="O40" s="426"/>
      <c r="P40" s="426"/>
      <c r="Q40" s="426"/>
      <c r="R40" s="426"/>
      <c r="S40" s="426"/>
      <c r="T40" s="426"/>
      <c r="U40" s="426"/>
      <c r="V40" s="426"/>
      <c r="W40" s="426"/>
      <c r="X40" s="426"/>
      <c r="Y40" s="426"/>
      <c r="Z40" s="426"/>
      <c r="AA40" s="426"/>
      <c r="AB40" s="426"/>
      <c r="AC40" s="426"/>
      <c r="AD40" s="426"/>
      <c r="AE40" s="426"/>
      <c r="AF40" s="426"/>
      <c r="AG40" s="426"/>
      <c r="AH40" s="426"/>
      <c r="AI40" s="427"/>
      <c r="AJ40" s="425"/>
      <c r="AK40" s="426"/>
      <c r="AL40" s="426"/>
      <c r="AM40" s="426"/>
      <c r="AN40" s="426"/>
      <c r="AO40" s="426"/>
      <c r="AP40" s="426"/>
      <c r="AQ40" s="426"/>
      <c r="AR40" s="426"/>
      <c r="AS40" s="426"/>
      <c r="AT40" s="426"/>
      <c r="AU40" s="426"/>
      <c r="AV40" s="426"/>
      <c r="AW40" s="426"/>
      <c r="AX40" s="426"/>
      <c r="AY40" s="426"/>
      <c r="AZ40" s="426"/>
      <c r="BA40" s="426"/>
      <c r="BB40" s="426"/>
      <c r="BC40" s="426"/>
      <c r="BD40" s="426"/>
      <c r="BE40" s="426"/>
      <c r="BF40" s="427"/>
      <c r="BG40" s="425"/>
      <c r="BH40" s="426"/>
      <c r="BI40" s="426"/>
      <c r="BJ40" s="426"/>
      <c r="BK40" s="426"/>
      <c r="BL40" s="426"/>
      <c r="BM40" s="426"/>
      <c r="BN40" s="426"/>
      <c r="BO40" s="426"/>
      <c r="BP40" s="426"/>
      <c r="BQ40" s="426"/>
      <c r="BR40" s="426"/>
      <c r="BS40" s="426"/>
      <c r="BT40" s="426"/>
      <c r="BU40" s="426"/>
      <c r="BV40" s="426"/>
      <c r="BW40" s="426"/>
      <c r="BX40" s="426"/>
      <c r="BY40" s="426"/>
      <c r="BZ40" s="426"/>
      <c r="CA40" s="426"/>
      <c r="CB40" s="426"/>
      <c r="CC40" s="427"/>
      <c r="CD40" s="425"/>
      <c r="CE40" s="426"/>
      <c r="CF40" s="426"/>
      <c r="CG40" s="426"/>
      <c r="CH40" s="426"/>
      <c r="CI40" s="426"/>
      <c r="CJ40" s="426"/>
      <c r="CK40" s="426"/>
      <c r="CL40" s="426"/>
      <c r="CM40" s="426"/>
      <c r="CN40" s="426"/>
      <c r="CO40" s="426"/>
      <c r="CP40" s="426"/>
      <c r="CQ40" s="426"/>
      <c r="CR40" s="426"/>
      <c r="CS40" s="426"/>
      <c r="CT40" s="426"/>
      <c r="CU40" s="426"/>
      <c r="CV40" s="426"/>
      <c r="CW40" s="426"/>
      <c r="CX40" s="426"/>
      <c r="CY40" s="426"/>
      <c r="CZ40" s="427"/>
      <c r="DA40" s="218"/>
      <c r="DB40" s="218"/>
      <c r="DC40" s="218"/>
      <c r="DD40" s="218"/>
    </row>
    <row r="41" spans="1:108" ht="21.75" hidden="1" customHeight="1">
      <c r="A41" s="77" t="s">
        <v>2</v>
      </c>
      <c r="B41" s="76">
        <v>1310</v>
      </c>
      <c r="C41" s="76">
        <v>140</v>
      </c>
      <c r="D41" s="76"/>
      <c r="E41" s="78"/>
      <c r="F41" s="165"/>
      <c r="G41" s="216"/>
      <c r="H41" s="216"/>
      <c r="I41" s="216"/>
      <c r="J41" s="216"/>
      <c r="K41" s="216"/>
      <c r="L41" s="218"/>
      <c r="M41" s="425"/>
      <c r="N41" s="426"/>
      <c r="O41" s="426"/>
      <c r="P41" s="426"/>
      <c r="Q41" s="426"/>
      <c r="R41" s="426"/>
      <c r="S41" s="426"/>
      <c r="T41" s="426"/>
      <c r="U41" s="426"/>
      <c r="V41" s="426"/>
      <c r="W41" s="426"/>
      <c r="X41" s="426"/>
      <c r="Y41" s="426"/>
      <c r="Z41" s="426"/>
      <c r="AA41" s="426"/>
      <c r="AB41" s="426"/>
      <c r="AC41" s="426"/>
      <c r="AD41" s="426"/>
      <c r="AE41" s="426"/>
      <c r="AF41" s="426"/>
      <c r="AG41" s="426"/>
      <c r="AH41" s="426"/>
      <c r="AI41" s="427"/>
      <c r="AJ41" s="425"/>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7"/>
      <c r="BG41" s="425"/>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7"/>
      <c r="CD41" s="425"/>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7"/>
      <c r="DA41" s="218"/>
      <c r="DB41" s="218"/>
      <c r="DC41" s="218"/>
      <c r="DD41" s="218"/>
    </row>
    <row r="42" spans="1:108" ht="30" hidden="1" customHeight="1">
      <c r="A42" s="77" t="s">
        <v>67</v>
      </c>
      <c r="B42" s="76">
        <v>1400</v>
      </c>
      <c r="C42" s="76">
        <v>150</v>
      </c>
      <c r="D42" s="76"/>
      <c r="E42" s="78"/>
      <c r="F42" s="165"/>
      <c r="G42" s="216"/>
      <c r="H42" s="216"/>
      <c r="I42" s="216"/>
      <c r="J42" s="216"/>
      <c r="K42" s="216"/>
      <c r="L42" s="218"/>
      <c r="M42" s="425"/>
      <c r="N42" s="426"/>
      <c r="O42" s="426"/>
      <c r="P42" s="426"/>
      <c r="Q42" s="426"/>
      <c r="R42" s="426"/>
      <c r="S42" s="426"/>
      <c r="T42" s="426"/>
      <c r="U42" s="426"/>
      <c r="V42" s="426"/>
      <c r="W42" s="426"/>
      <c r="X42" s="426"/>
      <c r="Y42" s="426"/>
      <c r="Z42" s="426"/>
      <c r="AA42" s="426"/>
      <c r="AB42" s="426"/>
      <c r="AC42" s="426"/>
      <c r="AD42" s="426"/>
      <c r="AE42" s="426"/>
      <c r="AF42" s="426"/>
      <c r="AG42" s="426"/>
      <c r="AH42" s="426"/>
      <c r="AI42" s="427"/>
      <c r="AJ42" s="425"/>
      <c r="AK42" s="426"/>
      <c r="AL42" s="426"/>
      <c r="AM42" s="426"/>
      <c r="AN42" s="426"/>
      <c r="AO42" s="426"/>
      <c r="AP42" s="426"/>
      <c r="AQ42" s="426"/>
      <c r="AR42" s="426"/>
      <c r="AS42" s="426"/>
      <c r="AT42" s="426"/>
      <c r="AU42" s="426"/>
      <c r="AV42" s="426"/>
      <c r="AW42" s="426"/>
      <c r="AX42" s="426"/>
      <c r="AY42" s="426"/>
      <c r="AZ42" s="426"/>
      <c r="BA42" s="426"/>
      <c r="BB42" s="426"/>
      <c r="BC42" s="426"/>
      <c r="BD42" s="426"/>
      <c r="BE42" s="426"/>
      <c r="BF42" s="427"/>
      <c r="BG42" s="425"/>
      <c r="BH42" s="426"/>
      <c r="BI42" s="426"/>
      <c r="BJ42" s="426"/>
      <c r="BK42" s="426"/>
      <c r="BL42" s="426"/>
      <c r="BM42" s="426"/>
      <c r="BN42" s="426"/>
      <c r="BO42" s="426"/>
      <c r="BP42" s="426"/>
      <c r="BQ42" s="426"/>
      <c r="BR42" s="426"/>
      <c r="BS42" s="426"/>
      <c r="BT42" s="426"/>
      <c r="BU42" s="426"/>
      <c r="BV42" s="426"/>
      <c r="BW42" s="426"/>
      <c r="BX42" s="426"/>
      <c r="BY42" s="426"/>
      <c r="BZ42" s="426"/>
      <c r="CA42" s="426"/>
      <c r="CB42" s="426"/>
      <c r="CC42" s="427"/>
      <c r="CD42" s="425"/>
      <c r="CE42" s="426"/>
      <c r="CF42" s="426"/>
      <c r="CG42" s="426"/>
      <c r="CH42" s="426"/>
      <c r="CI42" s="426"/>
      <c r="CJ42" s="426"/>
      <c r="CK42" s="426"/>
      <c r="CL42" s="426"/>
      <c r="CM42" s="426"/>
      <c r="CN42" s="426"/>
      <c r="CO42" s="426"/>
      <c r="CP42" s="426"/>
      <c r="CQ42" s="426"/>
      <c r="CR42" s="426"/>
      <c r="CS42" s="426"/>
      <c r="CT42" s="426"/>
      <c r="CU42" s="426"/>
      <c r="CV42" s="426"/>
      <c r="CW42" s="426"/>
      <c r="CX42" s="426"/>
      <c r="CY42" s="426"/>
      <c r="CZ42" s="427"/>
      <c r="DA42" s="218"/>
      <c r="DB42" s="218"/>
      <c r="DC42" s="218"/>
      <c r="DD42" s="218"/>
    </row>
    <row r="43" spans="1:108" ht="21.75" hidden="1" customHeight="1">
      <c r="A43" s="77" t="s">
        <v>65</v>
      </c>
      <c r="B43" s="76"/>
      <c r="C43" s="76"/>
      <c r="D43" s="76"/>
      <c r="E43" s="78"/>
      <c r="F43" s="165"/>
      <c r="G43" s="216"/>
      <c r="H43" s="216"/>
      <c r="I43" s="216"/>
      <c r="J43" s="216"/>
      <c r="K43" s="216"/>
      <c r="L43" s="218"/>
      <c r="M43" s="425"/>
      <c r="N43" s="426"/>
      <c r="O43" s="426"/>
      <c r="P43" s="426"/>
      <c r="Q43" s="426"/>
      <c r="R43" s="426"/>
      <c r="S43" s="426"/>
      <c r="T43" s="426"/>
      <c r="U43" s="426"/>
      <c r="V43" s="426"/>
      <c r="W43" s="426"/>
      <c r="X43" s="426"/>
      <c r="Y43" s="426"/>
      <c r="Z43" s="426"/>
      <c r="AA43" s="426"/>
      <c r="AB43" s="426"/>
      <c r="AC43" s="426"/>
      <c r="AD43" s="426"/>
      <c r="AE43" s="426"/>
      <c r="AF43" s="426"/>
      <c r="AG43" s="426"/>
      <c r="AH43" s="426"/>
      <c r="AI43" s="427"/>
      <c r="AJ43" s="425"/>
      <c r="AK43" s="426"/>
      <c r="AL43" s="426"/>
      <c r="AM43" s="426"/>
      <c r="AN43" s="426"/>
      <c r="AO43" s="426"/>
      <c r="AP43" s="426"/>
      <c r="AQ43" s="426"/>
      <c r="AR43" s="426"/>
      <c r="AS43" s="426"/>
      <c r="AT43" s="426"/>
      <c r="AU43" s="426"/>
      <c r="AV43" s="426"/>
      <c r="AW43" s="426"/>
      <c r="AX43" s="426"/>
      <c r="AY43" s="426"/>
      <c r="AZ43" s="426"/>
      <c r="BA43" s="426"/>
      <c r="BB43" s="426"/>
      <c r="BC43" s="426"/>
      <c r="BD43" s="426"/>
      <c r="BE43" s="426"/>
      <c r="BF43" s="427"/>
      <c r="BG43" s="425"/>
      <c r="BH43" s="426"/>
      <c r="BI43" s="426"/>
      <c r="BJ43" s="426"/>
      <c r="BK43" s="426"/>
      <c r="BL43" s="426"/>
      <c r="BM43" s="426"/>
      <c r="BN43" s="426"/>
      <c r="BO43" s="426"/>
      <c r="BP43" s="426"/>
      <c r="BQ43" s="426"/>
      <c r="BR43" s="426"/>
      <c r="BS43" s="426"/>
      <c r="BT43" s="426"/>
      <c r="BU43" s="426"/>
      <c r="BV43" s="426"/>
      <c r="BW43" s="426"/>
      <c r="BX43" s="426"/>
      <c r="BY43" s="426"/>
      <c r="BZ43" s="426"/>
      <c r="CA43" s="426"/>
      <c r="CB43" s="426"/>
      <c r="CC43" s="427"/>
      <c r="CD43" s="425"/>
      <c r="CE43" s="426"/>
      <c r="CF43" s="426"/>
      <c r="CG43" s="426"/>
      <c r="CH43" s="426"/>
      <c r="CI43" s="426"/>
      <c r="CJ43" s="426"/>
      <c r="CK43" s="426"/>
      <c r="CL43" s="426"/>
      <c r="CM43" s="426"/>
      <c r="CN43" s="426"/>
      <c r="CO43" s="426"/>
      <c r="CP43" s="426"/>
      <c r="CQ43" s="426"/>
      <c r="CR43" s="426"/>
      <c r="CS43" s="426"/>
      <c r="CT43" s="426"/>
      <c r="CU43" s="426"/>
      <c r="CV43" s="426"/>
      <c r="CW43" s="426"/>
      <c r="CX43" s="426"/>
      <c r="CY43" s="426"/>
      <c r="CZ43" s="427"/>
      <c r="DA43" s="218"/>
      <c r="DB43" s="218"/>
      <c r="DC43" s="218"/>
      <c r="DD43" s="218"/>
    </row>
    <row r="44" spans="1:108" ht="15" hidden="1" customHeight="1">
      <c r="A44" s="30"/>
      <c r="B44" s="76"/>
      <c r="C44" s="76"/>
      <c r="D44" s="76"/>
      <c r="E44" s="78"/>
      <c r="F44" s="165"/>
      <c r="G44" s="216"/>
      <c r="H44" s="216"/>
      <c r="I44" s="216"/>
      <c r="J44" s="216"/>
      <c r="K44" s="216"/>
      <c r="L44" s="218"/>
      <c r="M44" s="425"/>
      <c r="N44" s="426"/>
      <c r="O44" s="426"/>
      <c r="P44" s="426"/>
      <c r="Q44" s="426"/>
      <c r="R44" s="426"/>
      <c r="S44" s="426"/>
      <c r="T44" s="426"/>
      <c r="U44" s="426"/>
      <c r="V44" s="426"/>
      <c r="W44" s="426"/>
      <c r="X44" s="426"/>
      <c r="Y44" s="426"/>
      <c r="Z44" s="426"/>
      <c r="AA44" s="426"/>
      <c r="AB44" s="426"/>
      <c r="AC44" s="426"/>
      <c r="AD44" s="426"/>
      <c r="AE44" s="426"/>
      <c r="AF44" s="426"/>
      <c r="AG44" s="426"/>
      <c r="AH44" s="426"/>
      <c r="AI44" s="427"/>
      <c r="AJ44" s="425"/>
      <c r="AK44" s="426"/>
      <c r="AL44" s="426"/>
      <c r="AM44" s="426"/>
      <c r="AN44" s="426"/>
      <c r="AO44" s="426"/>
      <c r="AP44" s="426"/>
      <c r="AQ44" s="426"/>
      <c r="AR44" s="426"/>
      <c r="AS44" s="426"/>
      <c r="AT44" s="426"/>
      <c r="AU44" s="426"/>
      <c r="AV44" s="426"/>
      <c r="AW44" s="426"/>
      <c r="AX44" s="426"/>
      <c r="AY44" s="426"/>
      <c r="AZ44" s="426"/>
      <c r="BA44" s="426"/>
      <c r="BB44" s="426"/>
      <c r="BC44" s="426"/>
      <c r="BD44" s="426"/>
      <c r="BE44" s="426"/>
      <c r="BF44" s="427"/>
      <c r="BG44" s="425"/>
      <c r="BH44" s="426"/>
      <c r="BI44" s="426"/>
      <c r="BJ44" s="426"/>
      <c r="BK44" s="426"/>
      <c r="BL44" s="426"/>
      <c r="BM44" s="426"/>
      <c r="BN44" s="426"/>
      <c r="BO44" s="426"/>
      <c r="BP44" s="426"/>
      <c r="BQ44" s="426"/>
      <c r="BR44" s="426"/>
      <c r="BS44" s="426"/>
      <c r="BT44" s="426"/>
      <c r="BU44" s="426"/>
      <c r="BV44" s="426"/>
      <c r="BW44" s="426"/>
      <c r="BX44" s="426"/>
      <c r="BY44" s="426"/>
      <c r="BZ44" s="426"/>
      <c r="CA44" s="426"/>
      <c r="CB44" s="426"/>
      <c r="CC44" s="427"/>
      <c r="CD44" s="425"/>
      <c r="CE44" s="426"/>
      <c r="CF44" s="426"/>
      <c r="CG44" s="426"/>
      <c r="CH44" s="426"/>
      <c r="CI44" s="426"/>
      <c r="CJ44" s="426"/>
      <c r="CK44" s="426"/>
      <c r="CL44" s="426"/>
      <c r="CM44" s="426"/>
      <c r="CN44" s="426"/>
      <c r="CO44" s="426"/>
      <c r="CP44" s="426"/>
      <c r="CQ44" s="426"/>
      <c r="CR44" s="426"/>
      <c r="CS44" s="426"/>
      <c r="CT44" s="426"/>
      <c r="CU44" s="426"/>
      <c r="CV44" s="426"/>
      <c r="CW44" s="426"/>
      <c r="CX44" s="426"/>
      <c r="CY44" s="426"/>
      <c r="CZ44" s="427"/>
      <c r="DA44" s="218"/>
      <c r="DB44" s="218"/>
      <c r="DC44" s="218"/>
      <c r="DD44" s="218"/>
    </row>
    <row r="45" spans="1:108" ht="22.5" hidden="1" customHeight="1">
      <c r="A45" s="30" t="s">
        <v>2</v>
      </c>
      <c r="B45" s="76"/>
      <c r="C45" s="76"/>
      <c r="D45" s="76"/>
      <c r="E45" s="78"/>
      <c r="F45" s="165"/>
      <c r="G45" s="216"/>
      <c r="H45" s="216"/>
      <c r="I45" s="216"/>
      <c r="J45" s="216"/>
      <c r="K45" s="216"/>
      <c r="L45" s="218"/>
      <c r="M45" s="425"/>
      <c r="N45" s="426"/>
      <c r="O45" s="426"/>
      <c r="P45" s="426"/>
      <c r="Q45" s="426"/>
      <c r="R45" s="426"/>
      <c r="S45" s="426"/>
      <c r="T45" s="426"/>
      <c r="U45" s="426"/>
      <c r="V45" s="426"/>
      <c r="W45" s="426"/>
      <c r="X45" s="426"/>
      <c r="Y45" s="426"/>
      <c r="Z45" s="426"/>
      <c r="AA45" s="426"/>
      <c r="AB45" s="426"/>
      <c r="AC45" s="426"/>
      <c r="AD45" s="426"/>
      <c r="AE45" s="426"/>
      <c r="AF45" s="426"/>
      <c r="AG45" s="426"/>
      <c r="AH45" s="426"/>
      <c r="AI45" s="427"/>
      <c r="AJ45" s="425"/>
      <c r="AK45" s="426"/>
      <c r="AL45" s="426"/>
      <c r="AM45" s="426"/>
      <c r="AN45" s="426"/>
      <c r="AO45" s="426"/>
      <c r="AP45" s="426"/>
      <c r="AQ45" s="426"/>
      <c r="AR45" s="426"/>
      <c r="AS45" s="426"/>
      <c r="AT45" s="426"/>
      <c r="AU45" s="426"/>
      <c r="AV45" s="426"/>
      <c r="AW45" s="426"/>
      <c r="AX45" s="426"/>
      <c r="AY45" s="426"/>
      <c r="AZ45" s="426"/>
      <c r="BA45" s="426"/>
      <c r="BB45" s="426"/>
      <c r="BC45" s="426"/>
      <c r="BD45" s="426"/>
      <c r="BE45" s="426"/>
      <c r="BF45" s="427"/>
      <c r="BG45" s="425"/>
      <c r="BH45" s="426"/>
      <c r="BI45" s="426"/>
      <c r="BJ45" s="426"/>
      <c r="BK45" s="426"/>
      <c r="BL45" s="426"/>
      <c r="BM45" s="426"/>
      <c r="BN45" s="426"/>
      <c r="BO45" s="426"/>
      <c r="BP45" s="426"/>
      <c r="BQ45" s="426"/>
      <c r="BR45" s="426"/>
      <c r="BS45" s="426"/>
      <c r="BT45" s="426"/>
      <c r="BU45" s="426"/>
      <c r="BV45" s="426"/>
      <c r="BW45" s="426"/>
      <c r="BX45" s="426"/>
      <c r="BY45" s="426"/>
      <c r="BZ45" s="426"/>
      <c r="CA45" s="426"/>
      <c r="CB45" s="426"/>
      <c r="CC45" s="427"/>
      <c r="CD45" s="425"/>
      <c r="CE45" s="426"/>
      <c r="CF45" s="426"/>
      <c r="CG45" s="426"/>
      <c r="CH45" s="426"/>
      <c r="CI45" s="426"/>
      <c r="CJ45" s="426"/>
      <c r="CK45" s="426"/>
      <c r="CL45" s="426"/>
      <c r="CM45" s="426"/>
      <c r="CN45" s="426"/>
      <c r="CO45" s="426"/>
      <c r="CP45" s="426"/>
      <c r="CQ45" s="426"/>
      <c r="CR45" s="426"/>
      <c r="CS45" s="426"/>
      <c r="CT45" s="426"/>
      <c r="CU45" s="426"/>
      <c r="CV45" s="426"/>
      <c r="CW45" s="426"/>
      <c r="CX45" s="426"/>
      <c r="CY45" s="426"/>
      <c r="CZ45" s="427"/>
      <c r="DA45" s="218"/>
      <c r="DB45" s="218"/>
      <c r="DC45" s="218"/>
      <c r="DD45" s="218"/>
    </row>
    <row r="46" spans="1:108" ht="30" hidden="1" customHeight="1">
      <c r="A46" s="77" t="s">
        <v>68</v>
      </c>
      <c r="B46" s="76">
        <v>1500</v>
      </c>
      <c r="C46" s="76">
        <v>180</v>
      </c>
      <c r="D46" s="76"/>
      <c r="E46" s="78"/>
      <c r="F46" s="165"/>
      <c r="G46" s="216"/>
      <c r="H46" s="216"/>
      <c r="I46" s="216"/>
      <c r="J46" s="216"/>
      <c r="K46" s="216"/>
      <c r="L46" s="218"/>
      <c r="M46" s="425"/>
      <c r="N46" s="426"/>
      <c r="O46" s="426"/>
      <c r="P46" s="426"/>
      <c r="Q46" s="426"/>
      <c r="R46" s="426"/>
      <c r="S46" s="426"/>
      <c r="T46" s="426"/>
      <c r="U46" s="426"/>
      <c r="V46" s="426"/>
      <c r="W46" s="426"/>
      <c r="X46" s="426"/>
      <c r="Y46" s="426"/>
      <c r="Z46" s="426"/>
      <c r="AA46" s="426"/>
      <c r="AB46" s="426"/>
      <c r="AC46" s="426"/>
      <c r="AD46" s="426"/>
      <c r="AE46" s="426"/>
      <c r="AF46" s="426"/>
      <c r="AG46" s="426"/>
      <c r="AH46" s="426"/>
      <c r="AI46" s="427"/>
      <c r="AJ46" s="425"/>
      <c r="AK46" s="426"/>
      <c r="AL46" s="426"/>
      <c r="AM46" s="426"/>
      <c r="AN46" s="426"/>
      <c r="AO46" s="426"/>
      <c r="AP46" s="426"/>
      <c r="AQ46" s="426"/>
      <c r="AR46" s="426"/>
      <c r="AS46" s="426"/>
      <c r="AT46" s="426"/>
      <c r="AU46" s="426"/>
      <c r="AV46" s="426"/>
      <c r="AW46" s="426"/>
      <c r="AX46" s="426"/>
      <c r="AY46" s="426"/>
      <c r="AZ46" s="426"/>
      <c r="BA46" s="426"/>
      <c r="BB46" s="426"/>
      <c r="BC46" s="426"/>
      <c r="BD46" s="426"/>
      <c r="BE46" s="426"/>
      <c r="BF46" s="427"/>
      <c r="BG46" s="425"/>
      <c r="BH46" s="426"/>
      <c r="BI46" s="426"/>
      <c r="BJ46" s="426"/>
      <c r="BK46" s="426"/>
      <c r="BL46" s="426"/>
      <c r="BM46" s="426"/>
      <c r="BN46" s="426"/>
      <c r="BO46" s="426"/>
      <c r="BP46" s="426"/>
      <c r="BQ46" s="426"/>
      <c r="BR46" s="426"/>
      <c r="BS46" s="426"/>
      <c r="BT46" s="426"/>
      <c r="BU46" s="426"/>
      <c r="BV46" s="426"/>
      <c r="BW46" s="426"/>
      <c r="BX46" s="426"/>
      <c r="BY46" s="426"/>
      <c r="BZ46" s="426"/>
      <c r="CA46" s="426"/>
      <c r="CB46" s="426"/>
      <c r="CC46" s="427"/>
      <c r="CD46" s="425"/>
      <c r="CE46" s="426"/>
      <c r="CF46" s="426"/>
      <c r="CG46" s="426"/>
      <c r="CH46" s="426"/>
      <c r="CI46" s="426"/>
      <c r="CJ46" s="426"/>
      <c r="CK46" s="426"/>
      <c r="CL46" s="426"/>
      <c r="CM46" s="426"/>
      <c r="CN46" s="426"/>
      <c r="CO46" s="426"/>
      <c r="CP46" s="426"/>
      <c r="CQ46" s="426"/>
      <c r="CR46" s="426"/>
      <c r="CS46" s="426"/>
      <c r="CT46" s="426"/>
      <c r="CU46" s="426"/>
      <c r="CV46" s="426"/>
      <c r="CW46" s="426"/>
      <c r="CX46" s="426"/>
      <c r="CY46" s="426"/>
      <c r="CZ46" s="427"/>
      <c r="DA46" s="218"/>
      <c r="DB46" s="218"/>
      <c r="DC46" s="218"/>
      <c r="DD46" s="218"/>
    </row>
    <row r="47" spans="1:108" ht="30" hidden="1" customHeight="1">
      <c r="A47" s="77" t="s">
        <v>65</v>
      </c>
      <c r="B47" s="76"/>
      <c r="C47" s="76"/>
      <c r="D47" s="76"/>
      <c r="E47" s="78"/>
      <c r="F47" s="165"/>
      <c r="G47" s="216"/>
      <c r="H47" s="216"/>
      <c r="I47" s="216"/>
      <c r="J47" s="216"/>
      <c r="K47" s="216"/>
      <c r="L47" s="218"/>
      <c r="M47" s="425"/>
      <c r="N47" s="426"/>
      <c r="O47" s="426"/>
      <c r="P47" s="426"/>
      <c r="Q47" s="426"/>
      <c r="R47" s="426"/>
      <c r="S47" s="426"/>
      <c r="T47" s="426"/>
      <c r="U47" s="426"/>
      <c r="V47" s="426"/>
      <c r="W47" s="426"/>
      <c r="X47" s="426"/>
      <c r="Y47" s="426"/>
      <c r="Z47" s="426"/>
      <c r="AA47" s="426"/>
      <c r="AB47" s="426"/>
      <c r="AC47" s="426"/>
      <c r="AD47" s="426"/>
      <c r="AE47" s="426"/>
      <c r="AF47" s="426"/>
      <c r="AG47" s="426"/>
      <c r="AH47" s="426"/>
      <c r="AI47" s="427"/>
      <c r="AJ47" s="425"/>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7"/>
      <c r="BG47" s="425"/>
      <c r="BH47" s="426"/>
      <c r="BI47" s="426"/>
      <c r="BJ47" s="426"/>
      <c r="BK47" s="426"/>
      <c r="BL47" s="426"/>
      <c r="BM47" s="426"/>
      <c r="BN47" s="426"/>
      <c r="BO47" s="426"/>
      <c r="BP47" s="426"/>
      <c r="BQ47" s="426"/>
      <c r="BR47" s="426"/>
      <c r="BS47" s="426"/>
      <c r="BT47" s="426"/>
      <c r="BU47" s="426"/>
      <c r="BV47" s="426"/>
      <c r="BW47" s="426"/>
      <c r="BX47" s="426"/>
      <c r="BY47" s="426"/>
      <c r="BZ47" s="426"/>
      <c r="CA47" s="426"/>
      <c r="CB47" s="426"/>
      <c r="CC47" s="427"/>
      <c r="CD47" s="425"/>
      <c r="CE47" s="426"/>
      <c r="CF47" s="426"/>
      <c r="CG47" s="426"/>
      <c r="CH47" s="426"/>
      <c r="CI47" s="426"/>
      <c r="CJ47" s="426"/>
      <c r="CK47" s="426"/>
      <c r="CL47" s="426"/>
      <c r="CM47" s="426"/>
      <c r="CN47" s="426"/>
      <c r="CO47" s="426"/>
      <c r="CP47" s="426"/>
      <c r="CQ47" s="426"/>
      <c r="CR47" s="426"/>
      <c r="CS47" s="426"/>
      <c r="CT47" s="426"/>
      <c r="CU47" s="426"/>
      <c r="CV47" s="426"/>
      <c r="CW47" s="426"/>
      <c r="CX47" s="426"/>
      <c r="CY47" s="426"/>
      <c r="CZ47" s="427"/>
      <c r="DA47" s="218"/>
      <c r="DB47" s="218"/>
      <c r="DC47" s="218"/>
      <c r="DD47" s="218"/>
    </row>
    <row r="48" spans="1:108" ht="18" hidden="1" customHeight="1">
      <c r="A48" s="77"/>
      <c r="B48" s="76"/>
      <c r="C48" s="76"/>
      <c r="D48" s="76"/>
      <c r="E48" s="78"/>
      <c r="F48" s="165"/>
      <c r="G48" s="216"/>
      <c r="H48" s="216"/>
      <c r="I48" s="216"/>
      <c r="J48" s="216"/>
      <c r="K48" s="216"/>
      <c r="L48" s="218"/>
      <c r="M48" s="425"/>
      <c r="N48" s="426"/>
      <c r="O48" s="426"/>
      <c r="P48" s="426"/>
      <c r="Q48" s="426"/>
      <c r="R48" s="426"/>
      <c r="S48" s="426"/>
      <c r="T48" s="426"/>
      <c r="U48" s="426"/>
      <c r="V48" s="426"/>
      <c r="W48" s="426"/>
      <c r="X48" s="426"/>
      <c r="Y48" s="426"/>
      <c r="Z48" s="426"/>
      <c r="AA48" s="426"/>
      <c r="AB48" s="426"/>
      <c r="AC48" s="426"/>
      <c r="AD48" s="426"/>
      <c r="AE48" s="426"/>
      <c r="AF48" s="426"/>
      <c r="AG48" s="426"/>
      <c r="AH48" s="426"/>
      <c r="AI48" s="427"/>
      <c r="AJ48" s="425"/>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7"/>
      <c r="BG48" s="425"/>
      <c r="BH48" s="426"/>
      <c r="BI48" s="426"/>
      <c r="BJ48" s="426"/>
      <c r="BK48" s="426"/>
      <c r="BL48" s="426"/>
      <c r="BM48" s="426"/>
      <c r="BN48" s="426"/>
      <c r="BO48" s="426"/>
      <c r="BP48" s="426"/>
      <c r="BQ48" s="426"/>
      <c r="BR48" s="426"/>
      <c r="BS48" s="426"/>
      <c r="BT48" s="426"/>
      <c r="BU48" s="426"/>
      <c r="BV48" s="426"/>
      <c r="BW48" s="426"/>
      <c r="BX48" s="426"/>
      <c r="BY48" s="426"/>
      <c r="BZ48" s="426"/>
      <c r="CA48" s="426"/>
      <c r="CB48" s="426"/>
      <c r="CC48" s="427"/>
      <c r="CD48" s="425"/>
      <c r="CE48" s="426"/>
      <c r="CF48" s="426"/>
      <c r="CG48" s="426"/>
      <c r="CH48" s="426"/>
      <c r="CI48" s="426"/>
      <c r="CJ48" s="426"/>
      <c r="CK48" s="426"/>
      <c r="CL48" s="426"/>
      <c r="CM48" s="426"/>
      <c r="CN48" s="426"/>
      <c r="CO48" s="426"/>
      <c r="CP48" s="426"/>
      <c r="CQ48" s="426"/>
      <c r="CR48" s="426"/>
      <c r="CS48" s="426"/>
      <c r="CT48" s="426"/>
      <c r="CU48" s="426"/>
      <c r="CV48" s="426"/>
      <c r="CW48" s="426"/>
      <c r="CX48" s="426"/>
      <c r="CY48" s="426"/>
      <c r="CZ48" s="427"/>
      <c r="DA48" s="218"/>
      <c r="DB48" s="218"/>
      <c r="DC48" s="218"/>
      <c r="DD48" s="218"/>
    </row>
    <row r="49" spans="1:108" s="57" customFormat="1" ht="20.25" customHeight="1">
      <c r="A49" s="433" t="s">
        <v>95</v>
      </c>
      <c r="B49" s="447">
        <v>1410</v>
      </c>
      <c r="C49" s="447">
        <v>150</v>
      </c>
      <c r="D49" s="431"/>
      <c r="E49" s="448">
        <f t="shared" ref="E49:K49" si="5">SUM(E52:E58)</f>
        <v>4812812.5999999996</v>
      </c>
      <c r="F49" s="413">
        <f t="shared" si="5"/>
        <v>3494181.52</v>
      </c>
      <c r="G49" s="413">
        <f t="shared" si="5"/>
        <v>9267101.9900000002</v>
      </c>
      <c r="H49" s="413">
        <f t="shared" si="5"/>
        <v>9170925.8399999999</v>
      </c>
      <c r="I49" s="413">
        <f t="shared" si="5"/>
        <v>9170925.8399999999</v>
      </c>
      <c r="J49" s="413">
        <f t="shared" si="5"/>
        <v>9170925.8399999999</v>
      </c>
      <c r="K49" s="413">
        <f t="shared" si="5"/>
        <v>9170925.8399999999</v>
      </c>
      <c r="L49" s="218"/>
      <c r="M49" s="425"/>
      <c r="N49" s="426"/>
      <c r="O49" s="426"/>
      <c r="P49" s="426"/>
      <c r="Q49" s="426"/>
      <c r="R49" s="426"/>
      <c r="S49" s="426"/>
      <c r="T49" s="426"/>
      <c r="U49" s="426"/>
      <c r="V49" s="426"/>
      <c r="W49" s="426"/>
      <c r="X49" s="426"/>
      <c r="Y49" s="426"/>
      <c r="Z49" s="426"/>
      <c r="AA49" s="426"/>
      <c r="AB49" s="426"/>
      <c r="AC49" s="426"/>
      <c r="AD49" s="426"/>
      <c r="AE49" s="426"/>
      <c r="AF49" s="426"/>
      <c r="AG49" s="426"/>
      <c r="AH49" s="426"/>
      <c r="AI49" s="427"/>
      <c r="AJ49" s="425"/>
      <c r="AK49" s="426"/>
      <c r="AL49" s="426"/>
      <c r="AM49" s="426"/>
      <c r="AN49" s="426"/>
      <c r="AO49" s="426"/>
      <c r="AP49" s="426"/>
      <c r="AQ49" s="426"/>
      <c r="AR49" s="426"/>
      <c r="AS49" s="426"/>
      <c r="AT49" s="426"/>
      <c r="AU49" s="426"/>
      <c r="AV49" s="426"/>
      <c r="AW49" s="426"/>
      <c r="AX49" s="426"/>
      <c r="AY49" s="426"/>
      <c r="AZ49" s="426"/>
      <c r="BA49" s="426"/>
      <c r="BB49" s="426"/>
      <c r="BC49" s="426"/>
      <c r="BD49" s="426"/>
      <c r="BE49" s="426"/>
      <c r="BF49" s="427"/>
      <c r="BG49" s="425"/>
      <c r="BH49" s="426"/>
      <c r="BI49" s="426"/>
      <c r="BJ49" s="426"/>
      <c r="BK49" s="426"/>
      <c r="BL49" s="426"/>
      <c r="BM49" s="426"/>
      <c r="BN49" s="426"/>
      <c r="BO49" s="426"/>
      <c r="BP49" s="426"/>
      <c r="BQ49" s="426"/>
      <c r="BR49" s="426"/>
      <c r="BS49" s="426"/>
      <c r="BT49" s="426"/>
      <c r="BU49" s="426"/>
      <c r="BV49" s="426"/>
      <c r="BW49" s="426"/>
      <c r="BX49" s="426"/>
      <c r="BY49" s="426"/>
      <c r="BZ49" s="426"/>
      <c r="CA49" s="426"/>
      <c r="CB49" s="426"/>
      <c r="CC49" s="427"/>
      <c r="CD49" s="425"/>
      <c r="CE49" s="426"/>
      <c r="CF49" s="426"/>
      <c r="CG49" s="426"/>
      <c r="CH49" s="426"/>
      <c r="CI49" s="426"/>
      <c r="CJ49" s="426"/>
      <c r="CK49" s="426"/>
      <c r="CL49" s="426"/>
      <c r="CM49" s="426"/>
      <c r="CN49" s="426"/>
      <c r="CO49" s="426"/>
      <c r="CP49" s="426"/>
      <c r="CQ49" s="426"/>
      <c r="CR49" s="426"/>
      <c r="CS49" s="426"/>
      <c r="CT49" s="426"/>
      <c r="CU49" s="426"/>
      <c r="CV49" s="426"/>
      <c r="CW49" s="426"/>
      <c r="CX49" s="426"/>
      <c r="CY49" s="426"/>
      <c r="CZ49" s="427"/>
      <c r="DA49" s="218"/>
      <c r="DB49" s="218"/>
      <c r="DC49" s="218"/>
      <c r="DD49" s="218"/>
    </row>
    <row r="50" spans="1:108" s="57" customFormat="1" ht="15" customHeight="1">
      <c r="A50" s="433"/>
      <c r="B50" s="447"/>
      <c r="C50" s="447"/>
      <c r="D50" s="431"/>
      <c r="E50" s="448"/>
      <c r="F50" s="413"/>
      <c r="G50" s="413"/>
      <c r="H50" s="413"/>
      <c r="I50" s="413"/>
      <c r="J50" s="413"/>
      <c r="K50" s="413"/>
      <c r="L50" s="218"/>
      <c r="M50" s="425"/>
      <c r="N50" s="426"/>
      <c r="O50" s="426"/>
      <c r="P50" s="426"/>
      <c r="Q50" s="426"/>
      <c r="R50" s="426"/>
      <c r="S50" s="426"/>
      <c r="T50" s="426"/>
      <c r="U50" s="426"/>
      <c r="V50" s="426"/>
      <c r="W50" s="426"/>
      <c r="X50" s="426"/>
      <c r="Y50" s="426"/>
      <c r="Z50" s="426"/>
      <c r="AA50" s="426"/>
      <c r="AB50" s="426"/>
      <c r="AC50" s="426"/>
      <c r="AD50" s="426"/>
      <c r="AE50" s="426"/>
      <c r="AF50" s="426"/>
      <c r="AG50" s="426"/>
      <c r="AH50" s="426"/>
      <c r="AI50" s="427"/>
      <c r="AJ50" s="425"/>
      <c r="AK50" s="426"/>
      <c r="AL50" s="426"/>
      <c r="AM50" s="426"/>
      <c r="AN50" s="426"/>
      <c r="AO50" s="426"/>
      <c r="AP50" s="426"/>
      <c r="AQ50" s="426"/>
      <c r="AR50" s="426"/>
      <c r="AS50" s="426"/>
      <c r="AT50" s="426"/>
      <c r="AU50" s="426"/>
      <c r="AV50" s="426"/>
      <c r="AW50" s="426"/>
      <c r="AX50" s="426"/>
      <c r="AY50" s="426"/>
      <c r="AZ50" s="426"/>
      <c r="BA50" s="426"/>
      <c r="BB50" s="426"/>
      <c r="BC50" s="426"/>
      <c r="BD50" s="426"/>
      <c r="BE50" s="426"/>
      <c r="BF50" s="427"/>
      <c r="BG50" s="425"/>
      <c r="BH50" s="426"/>
      <c r="BI50" s="426"/>
      <c r="BJ50" s="426"/>
      <c r="BK50" s="426"/>
      <c r="BL50" s="426"/>
      <c r="BM50" s="426"/>
      <c r="BN50" s="426"/>
      <c r="BO50" s="426"/>
      <c r="BP50" s="426"/>
      <c r="BQ50" s="426"/>
      <c r="BR50" s="426"/>
      <c r="BS50" s="426"/>
      <c r="BT50" s="426"/>
      <c r="BU50" s="426"/>
      <c r="BV50" s="426"/>
      <c r="BW50" s="426"/>
      <c r="BX50" s="426"/>
      <c r="BY50" s="426"/>
      <c r="BZ50" s="426"/>
      <c r="CA50" s="426"/>
      <c r="CB50" s="426"/>
      <c r="CC50" s="427"/>
      <c r="CD50" s="425"/>
      <c r="CE50" s="426"/>
      <c r="CF50" s="426"/>
      <c r="CG50" s="426"/>
      <c r="CH50" s="426"/>
      <c r="CI50" s="426"/>
      <c r="CJ50" s="426"/>
      <c r="CK50" s="426"/>
      <c r="CL50" s="426"/>
      <c r="CM50" s="426"/>
      <c r="CN50" s="426"/>
      <c r="CO50" s="426"/>
      <c r="CP50" s="426"/>
      <c r="CQ50" s="426"/>
      <c r="CR50" s="426"/>
      <c r="CS50" s="426"/>
      <c r="CT50" s="426"/>
      <c r="CU50" s="426"/>
      <c r="CV50" s="426"/>
      <c r="CW50" s="426"/>
      <c r="CX50" s="426"/>
      <c r="CY50" s="426"/>
      <c r="CZ50" s="427"/>
      <c r="DA50" s="218"/>
      <c r="DB50" s="218"/>
      <c r="DC50" s="218"/>
      <c r="DD50" s="218"/>
    </row>
    <row r="51" spans="1:108" ht="30" customHeight="1">
      <c r="A51" s="149" t="s">
        <v>230</v>
      </c>
      <c r="B51" s="76"/>
      <c r="C51" s="76"/>
      <c r="D51" s="76"/>
      <c r="E51" s="78"/>
      <c r="F51" s="165"/>
      <c r="G51" s="216"/>
      <c r="H51" s="216"/>
      <c r="I51" s="216"/>
      <c r="J51" s="216"/>
      <c r="K51" s="216"/>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row>
    <row r="52" spans="1:108" s="58" customFormat="1" ht="30" hidden="1" customHeight="1">
      <c r="A52" s="449" t="s">
        <v>176</v>
      </c>
      <c r="B52" s="71"/>
      <c r="C52" s="68" t="s">
        <v>181</v>
      </c>
      <c r="D52" s="71">
        <v>152</v>
      </c>
      <c r="E52" s="72">
        <v>50814</v>
      </c>
      <c r="F52" s="163">
        <v>0</v>
      </c>
      <c r="G52" s="214">
        <v>0</v>
      </c>
      <c r="H52" s="214">
        <v>0</v>
      </c>
      <c r="I52" s="214">
        <v>0</v>
      </c>
      <c r="J52" s="214">
        <v>0</v>
      </c>
      <c r="K52" s="214">
        <v>0</v>
      </c>
    </row>
    <row r="53" spans="1:108" s="58" customFormat="1" ht="30" customHeight="1">
      <c r="A53" s="450"/>
      <c r="B53" s="71"/>
      <c r="C53" s="215" t="s">
        <v>264</v>
      </c>
      <c r="D53" s="71">
        <v>152</v>
      </c>
      <c r="E53" s="75">
        <v>299813</v>
      </c>
      <c r="F53" s="163">
        <v>0</v>
      </c>
      <c r="G53" s="214">
        <v>600000</v>
      </c>
      <c r="H53" s="214">
        <v>600000</v>
      </c>
      <c r="I53" s="214">
        <v>600000</v>
      </c>
      <c r="J53" s="214">
        <f>I53</f>
        <v>600000</v>
      </c>
      <c r="K53" s="214">
        <f>I53</f>
        <v>600000</v>
      </c>
    </row>
    <row r="54" spans="1:108" s="211" customFormat="1" ht="30" customHeight="1">
      <c r="A54" s="450"/>
      <c r="B54" s="212"/>
      <c r="C54" s="215" t="s">
        <v>265</v>
      </c>
      <c r="D54" s="212">
        <v>152</v>
      </c>
      <c r="E54" s="213">
        <v>299813</v>
      </c>
      <c r="F54" s="214">
        <v>0</v>
      </c>
      <c r="G54" s="214">
        <v>4497571.1500000004</v>
      </c>
      <c r="H54" s="214">
        <v>4451660</v>
      </c>
      <c r="I54" s="214">
        <v>4451660</v>
      </c>
      <c r="J54" s="214">
        <f>I54</f>
        <v>4451660</v>
      </c>
      <c r="K54" s="214">
        <f>I54</f>
        <v>4451660</v>
      </c>
    </row>
    <row r="55" spans="1:108" s="211" customFormat="1" ht="30" customHeight="1">
      <c r="A55" s="450"/>
      <c r="B55" s="212"/>
      <c r="C55" s="215" t="s">
        <v>266</v>
      </c>
      <c r="D55" s="212">
        <v>152</v>
      </c>
      <c r="E55" s="213">
        <v>299813</v>
      </c>
      <c r="F55" s="214">
        <v>0</v>
      </c>
      <c r="G55" s="214">
        <v>214490.84</v>
      </c>
      <c r="H55" s="214">
        <v>164225.84</v>
      </c>
      <c r="I55" s="214">
        <v>164225.84</v>
      </c>
      <c r="J55" s="214">
        <f>I55</f>
        <v>164225.84</v>
      </c>
      <c r="K55" s="214">
        <f>I55</f>
        <v>164225.84</v>
      </c>
    </row>
    <row r="56" spans="1:108" s="58" customFormat="1" ht="30" customHeight="1">
      <c r="A56" s="416" t="s">
        <v>61</v>
      </c>
      <c r="B56" s="71"/>
      <c r="C56" s="192" t="s">
        <v>255</v>
      </c>
      <c r="D56" s="71">
        <v>152</v>
      </c>
      <c r="E56" s="72">
        <v>2597762.6</v>
      </c>
      <c r="F56" s="163">
        <v>2191475.52</v>
      </c>
      <c r="G56" s="214">
        <v>2360250</v>
      </c>
      <c r="H56" s="214">
        <v>2360250</v>
      </c>
      <c r="I56" s="214">
        <v>2360250</v>
      </c>
      <c r="J56" s="214">
        <f t="shared" ref="J56:K58" si="6">I56</f>
        <v>2360250</v>
      </c>
      <c r="K56" s="214">
        <f t="shared" si="6"/>
        <v>2360250</v>
      </c>
    </row>
    <row r="57" spans="1:108" s="58" customFormat="1" ht="30" customHeight="1">
      <c r="A57" s="416"/>
      <c r="B57" s="71"/>
      <c r="C57" s="68" t="s">
        <v>184</v>
      </c>
      <c r="D57" s="71">
        <v>152</v>
      </c>
      <c r="E57" s="72">
        <v>1252283</v>
      </c>
      <c r="F57" s="163">
        <v>12898</v>
      </c>
      <c r="G57" s="214">
        <v>15790</v>
      </c>
      <c r="H57" s="214">
        <v>15790</v>
      </c>
      <c r="I57" s="214">
        <v>15790</v>
      </c>
      <c r="J57" s="214">
        <f t="shared" si="6"/>
        <v>15790</v>
      </c>
      <c r="K57" s="214">
        <f t="shared" si="6"/>
        <v>15790</v>
      </c>
      <c r="M57" s="193"/>
      <c r="N57" s="193"/>
      <c r="O57" s="458" t="s">
        <v>258</v>
      </c>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60"/>
      <c r="CE57" s="193"/>
      <c r="CF57" s="193"/>
      <c r="CG57" s="193"/>
      <c r="CH57" s="193"/>
      <c r="CI57" s="193"/>
      <c r="CJ57" s="193"/>
      <c r="CK57" s="193"/>
      <c r="CL57" s="193"/>
      <c r="CM57" s="193"/>
      <c r="CN57" s="193"/>
      <c r="CO57" s="193"/>
      <c r="CP57" s="193"/>
    </row>
    <row r="58" spans="1:108" s="58" customFormat="1" ht="30" customHeight="1">
      <c r="A58" s="416"/>
      <c r="B58" s="71"/>
      <c r="C58" s="68" t="s">
        <v>185</v>
      </c>
      <c r="D58" s="71">
        <v>152</v>
      </c>
      <c r="E58" s="72">
        <v>12514</v>
      </c>
      <c r="F58" s="163">
        <v>1289808</v>
      </c>
      <c r="G58" s="214">
        <v>1579000</v>
      </c>
      <c r="H58" s="214">
        <v>1579000</v>
      </c>
      <c r="I58" s="214">
        <v>1579000</v>
      </c>
      <c r="J58" s="214">
        <f t="shared" si="6"/>
        <v>1579000</v>
      </c>
      <c r="K58" s="214">
        <f t="shared" si="6"/>
        <v>1579000</v>
      </c>
      <c r="M58" s="193"/>
      <c r="N58" s="193"/>
      <c r="O58" s="456">
        <f>G112+G113+G114+G115+G116+G117+G118+G119+G120+G121+G144+G146+G189+G223+G224+G225+G227+G270+G285+G286+G283+G284+G151+G226</f>
        <v>13528073.48</v>
      </c>
      <c r="P58" s="457"/>
      <c r="Q58" s="457"/>
      <c r="R58" s="457"/>
      <c r="S58" s="457"/>
      <c r="T58" s="457"/>
      <c r="U58" s="457"/>
      <c r="V58" s="457"/>
      <c r="W58" s="457"/>
      <c r="X58" s="457"/>
      <c r="Y58" s="457"/>
      <c r="Z58" s="457"/>
      <c r="AA58" s="457"/>
      <c r="AB58" s="457"/>
      <c r="AC58" s="457"/>
      <c r="AD58" s="457"/>
      <c r="AE58" s="457"/>
      <c r="AF58" s="425">
        <f>H112+H113+H114+H115+H116+H117+H118+H119+H120+H121+H144+H146+H224+H225+H227+H270+H285+H286</f>
        <v>13975774.5</v>
      </c>
      <c r="AG58" s="426"/>
      <c r="AH58" s="426"/>
      <c r="AI58" s="426"/>
      <c r="AJ58" s="426"/>
      <c r="AK58" s="426"/>
      <c r="AL58" s="426"/>
      <c r="AM58" s="426"/>
      <c r="AN58" s="426"/>
      <c r="AO58" s="426"/>
      <c r="AP58" s="426"/>
      <c r="AQ58" s="426"/>
      <c r="AR58" s="426"/>
      <c r="AS58" s="426"/>
      <c r="AT58" s="426"/>
      <c r="AU58" s="426"/>
      <c r="AV58" s="427"/>
      <c r="AW58" s="425">
        <f>I112+I113++I114+I115+I116+I117+I118+I119+I120+I121+I144+I146+I224+I225+I227+I270+I285+I286</f>
        <v>14123009</v>
      </c>
      <c r="AX58" s="426"/>
      <c r="AY58" s="426"/>
      <c r="AZ58" s="426"/>
      <c r="BA58" s="426"/>
      <c r="BB58" s="426"/>
      <c r="BC58" s="426"/>
      <c r="BD58" s="426"/>
      <c r="BE58" s="426"/>
      <c r="BF58" s="426"/>
      <c r="BG58" s="426"/>
      <c r="BH58" s="426"/>
      <c r="BI58" s="426"/>
      <c r="BJ58" s="426"/>
      <c r="BK58" s="426"/>
      <c r="BL58" s="426"/>
      <c r="BM58" s="427"/>
      <c r="BN58" s="425">
        <f>J112+J113+J114+J115+J116+J117+J118+J119+J120+J121+J144+J146+J224+J225+J227+J270+J285+J286</f>
        <v>10890931.359999999</v>
      </c>
      <c r="BO58" s="426"/>
      <c r="BP58" s="426"/>
      <c r="BQ58" s="426"/>
      <c r="BR58" s="426"/>
      <c r="BS58" s="426"/>
      <c r="BT58" s="426"/>
      <c r="BU58" s="426"/>
      <c r="BV58" s="426"/>
      <c r="BW58" s="426"/>
      <c r="BX58" s="426"/>
      <c r="BY58" s="426"/>
      <c r="BZ58" s="426"/>
      <c r="CA58" s="426"/>
      <c r="CB58" s="426"/>
      <c r="CC58" s="426"/>
      <c r="CD58" s="427"/>
      <c r="CE58" s="193"/>
      <c r="CF58" s="193"/>
      <c r="CG58" s="193"/>
      <c r="CH58" s="193"/>
      <c r="CI58" s="193"/>
      <c r="CJ58" s="193"/>
      <c r="CK58" s="193"/>
      <c r="CL58" s="193"/>
      <c r="CM58" s="193"/>
      <c r="CN58" s="193"/>
      <c r="CO58" s="193"/>
      <c r="CP58" s="193"/>
    </row>
    <row r="59" spans="1:108" ht="19.5" hidden="1" customHeight="1">
      <c r="A59" s="434" t="s">
        <v>96</v>
      </c>
      <c r="B59" s="431">
        <v>1520</v>
      </c>
      <c r="C59" s="431">
        <v>150</v>
      </c>
      <c r="D59" s="431"/>
      <c r="E59" s="437">
        <v>351099.25</v>
      </c>
      <c r="F59" s="421">
        <v>0</v>
      </c>
      <c r="G59" s="421">
        <v>0</v>
      </c>
      <c r="H59" s="421">
        <v>0</v>
      </c>
      <c r="I59" s="421">
        <v>0</v>
      </c>
      <c r="J59" s="421">
        <v>0</v>
      </c>
      <c r="K59" s="421">
        <v>0</v>
      </c>
      <c r="M59" s="193"/>
      <c r="N59" s="193"/>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7"/>
      <c r="AX59" s="457"/>
      <c r="AY59" s="457"/>
      <c r="AZ59" s="457"/>
      <c r="BA59" s="457"/>
      <c r="BB59" s="457"/>
      <c r="BC59" s="457"/>
      <c r="BD59" s="457"/>
      <c r="BE59" s="457"/>
      <c r="BF59" s="457"/>
      <c r="BG59" s="457"/>
      <c r="BH59" s="457"/>
      <c r="BI59" s="457"/>
      <c r="BJ59" s="457"/>
      <c r="BK59" s="457"/>
      <c r="BL59" s="457"/>
      <c r="BM59" s="457"/>
      <c r="BN59" s="457"/>
      <c r="BO59" s="457"/>
      <c r="BP59" s="457"/>
      <c r="BQ59" s="457"/>
      <c r="BR59" s="457"/>
      <c r="BS59" s="457"/>
      <c r="BT59" s="457"/>
      <c r="BU59" s="457"/>
      <c r="BV59" s="457"/>
      <c r="BW59" s="457"/>
      <c r="BX59" s="457"/>
      <c r="BY59" s="457"/>
      <c r="BZ59" s="457"/>
      <c r="CA59" s="457"/>
      <c r="CB59" s="457"/>
      <c r="CC59" s="457"/>
      <c r="CD59" s="457"/>
      <c r="CE59" s="193"/>
      <c r="CF59" s="193"/>
      <c r="CG59" s="193"/>
      <c r="CH59" s="193"/>
      <c r="CI59" s="193"/>
      <c r="CJ59" s="193"/>
      <c r="CK59" s="193"/>
      <c r="CL59" s="193"/>
      <c r="CM59" s="193"/>
      <c r="CN59" s="193"/>
      <c r="CO59" s="193"/>
      <c r="CP59" s="193"/>
    </row>
    <row r="60" spans="1:108" ht="19.5" hidden="1" customHeight="1">
      <c r="A60" s="434"/>
      <c r="B60" s="431"/>
      <c r="C60" s="431"/>
      <c r="D60" s="431"/>
      <c r="E60" s="437"/>
      <c r="F60" s="421"/>
      <c r="G60" s="421"/>
      <c r="H60" s="421"/>
      <c r="I60" s="421"/>
      <c r="J60" s="421"/>
      <c r="K60" s="421"/>
      <c r="M60" s="193"/>
      <c r="N60" s="193"/>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c r="AS60" s="457"/>
      <c r="AT60" s="457"/>
      <c r="AU60" s="457"/>
      <c r="AV60" s="457"/>
      <c r="AW60" s="457"/>
      <c r="AX60" s="457"/>
      <c r="AY60" s="457"/>
      <c r="AZ60" s="457"/>
      <c r="BA60" s="457"/>
      <c r="BB60" s="457"/>
      <c r="BC60" s="457"/>
      <c r="BD60" s="457"/>
      <c r="BE60" s="457"/>
      <c r="BF60" s="457"/>
      <c r="BG60" s="457"/>
      <c r="BH60" s="457"/>
      <c r="BI60" s="457"/>
      <c r="BJ60" s="457"/>
      <c r="BK60" s="457"/>
      <c r="BL60" s="457"/>
      <c r="BM60" s="457"/>
      <c r="BN60" s="457"/>
      <c r="BO60" s="457"/>
      <c r="BP60" s="457"/>
      <c r="BQ60" s="457"/>
      <c r="BR60" s="457"/>
      <c r="BS60" s="457"/>
      <c r="BT60" s="457"/>
      <c r="BU60" s="457"/>
      <c r="BV60" s="457"/>
      <c r="BW60" s="457"/>
      <c r="BX60" s="457"/>
      <c r="BY60" s="457"/>
      <c r="BZ60" s="457"/>
      <c r="CA60" s="457"/>
      <c r="CB60" s="457"/>
      <c r="CC60" s="457"/>
      <c r="CD60" s="457"/>
      <c r="CE60" s="193"/>
      <c r="CF60" s="193"/>
      <c r="CG60" s="193"/>
      <c r="CH60" s="193"/>
      <c r="CI60" s="193"/>
      <c r="CJ60" s="193"/>
      <c r="CK60" s="193"/>
      <c r="CL60" s="193"/>
      <c r="CM60" s="193"/>
      <c r="CN60" s="193"/>
      <c r="CO60" s="193"/>
      <c r="CP60" s="193"/>
    </row>
    <row r="61" spans="1:108" ht="17.25" hidden="1" customHeight="1">
      <c r="A61" s="416" t="s">
        <v>97</v>
      </c>
      <c r="B61" s="420">
        <v>1900</v>
      </c>
      <c r="C61" s="420"/>
      <c r="D61" s="420"/>
      <c r="E61" s="441"/>
      <c r="F61" s="428"/>
      <c r="G61" s="428"/>
      <c r="H61" s="428"/>
      <c r="I61" s="428"/>
      <c r="J61" s="428"/>
      <c r="K61" s="428"/>
      <c r="M61" s="193"/>
      <c r="N61" s="193"/>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7"/>
      <c r="BP61" s="457"/>
      <c r="BQ61" s="457"/>
      <c r="BR61" s="457"/>
      <c r="BS61" s="457"/>
      <c r="BT61" s="457"/>
      <c r="BU61" s="457"/>
      <c r="BV61" s="457"/>
      <c r="BW61" s="457"/>
      <c r="BX61" s="457"/>
      <c r="BY61" s="457"/>
      <c r="BZ61" s="457"/>
      <c r="CA61" s="457"/>
      <c r="CB61" s="457"/>
      <c r="CC61" s="457"/>
      <c r="CD61" s="457"/>
      <c r="CE61" s="193"/>
      <c r="CF61" s="193"/>
      <c r="CG61" s="193"/>
      <c r="CH61" s="193"/>
      <c r="CI61" s="193"/>
      <c r="CJ61" s="193"/>
      <c r="CK61" s="193"/>
      <c r="CL61" s="193"/>
      <c r="CM61" s="193"/>
      <c r="CN61" s="193"/>
      <c r="CO61" s="193"/>
      <c r="CP61" s="193"/>
    </row>
    <row r="62" spans="1:108" ht="15" hidden="1" customHeight="1">
      <c r="A62" s="416"/>
      <c r="B62" s="420"/>
      <c r="C62" s="420"/>
      <c r="D62" s="420"/>
      <c r="E62" s="441"/>
      <c r="F62" s="428"/>
      <c r="G62" s="428"/>
      <c r="H62" s="428"/>
      <c r="I62" s="428"/>
      <c r="J62" s="428"/>
      <c r="K62" s="428"/>
      <c r="M62" s="193"/>
      <c r="N62" s="193"/>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7"/>
      <c r="AY62" s="457"/>
      <c r="AZ62" s="457"/>
      <c r="BA62" s="457"/>
      <c r="BB62" s="457"/>
      <c r="BC62" s="457"/>
      <c r="BD62" s="457"/>
      <c r="BE62" s="457"/>
      <c r="BF62" s="457"/>
      <c r="BG62" s="457"/>
      <c r="BH62" s="457"/>
      <c r="BI62" s="457"/>
      <c r="BJ62" s="457"/>
      <c r="BK62" s="457"/>
      <c r="BL62" s="457"/>
      <c r="BM62" s="457"/>
      <c r="BN62" s="457"/>
      <c r="BO62" s="457"/>
      <c r="BP62" s="457"/>
      <c r="BQ62" s="457"/>
      <c r="BR62" s="457"/>
      <c r="BS62" s="457"/>
      <c r="BT62" s="457"/>
      <c r="BU62" s="457"/>
      <c r="BV62" s="457"/>
      <c r="BW62" s="457"/>
      <c r="BX62" s="457"/>
      <c r="BY62" s="457"/>
      <c r="BZ62" s="457"/>
      <c r="CA62" s="457"/>
      <c r="CB62" s="457"/>
      <c r="CC62" s="457"/>
      <c r="CD62" s="457"/>
      <c r="CE62" s="193"/>
      <c r="CF62" s="193"/>
      <c r="CG62" s="193"/>
      <c r="CH62" s="193"/>
      <c r="CI62" s="193"/>
      <c r="CJ62" s="193"/>
      <c r="CK62" s="193"/>
      <c r="CL62" s="193"/>
      <c r="CM62" s="193"/>
      <c r="CN62" s="193"/>
      <c r="CO62" s="193"/>
      <c r="CP62" s="193"/>
    </row>
    <row r="63" spans="1:108" ht="30" hidden="1" customHeight="1">
      <c r="A63" s="77" t="s">
        <v>2</v>
      </c>
      <c r="B63" s="76"/>
      <c r="C63" s="76"/>
      <c r="D63" s="76"/>
      <c r="E63" s="78"/>
      <c r="F63" s="165"/>
      <c r="G63" s="216"/>
      <c r="H63" s="216"/>
      <c r="I63" s="216"/>
      <c r="J63" s="216"/>
      <c r="K63" s="216"/>
      <c r="M63" s="193"/>
      <c r="N63" s="193"/>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457"/>
      <c r="AY63" s="457"/>
      <c r="AZ63" s="457"/>
      <c r="BA63" s="457"/>
      <c r="BB63" s="457"/>
      <c r="BC63" s="457"/>
      <c r="BD63" s="457"/>
      <c r="BE63" s="457"/>
      <c r="BF63" s="457"/>
      <c r="BG63" s="457"/>
      <c r="BH63" s="457"/>
      <c r="BI63" s="457"/>
      <c r="BJ63" s="457"/>
      <c r="BK63" s="457"/>
      <c r="BL63" s="457"/>
      <c r="BM63" s="457"/>
      <c r="BN63" s="457"/>
      <c r="BO63" s="457"/>
      <c r="BP63" s="457"/>
      <c r="BQ63" s="457"/>
      <c r="BR63" s="457"/>
      <c r="BS63" s="457"/>
      <c r="BT63" s="457"/>
      <c r="BU63" s="457"/>
      <c r="BV63" s="457"/>
      <c r="BW63" s="457"/>
      <c r="BX63" s="457"/>
      <c r="BY63" s="457"/>
      <c r="BZ63" s="457"/>
      <c r="CA63" s="457"/>
      <c r="CB63" s="457"/>
      <c r="CC63" s="457"/>
      <c r="CD63" s="457"/>
      <c r="CE63" s="193"/>
      <c r="CF63" s="193"/>
      <c r="CG63" s="193"/>
      <c r="CH63" s="193"/>
      <c r="CI63" s="193"/>
      <c r="CJ63" s="193"/>
      <c r="CK63" s="193"/>
      <c r="CL63" s="193"/>
      <c r="CM63" s="193"/>
      <c r="CN63" s="193"/>
      <c r="CO63" s="193"/>
      <c r="CP63" s="193"/>
    </row>
    <row r="64" spans="1:108" ht="17.25" hidden="1" customHeight="1">
      <c r="A64" s="77"/>
      <c r="B64" s="76"/>
      <c r="C64" s="76"/>
      <c r="D64" s="76"/>
      <c r="E64" s="78"/>
      <c r="F64" s="165"/>
      <c r="G64" s="216"/>
      <c r="H64" s="216"/>
      <c r="I64" s="216"/>
      <c r="J64" s="216"/>
      <c r="K64" s="216"/>
      <c r="M64" s="193"/>
      <c r="N64" s="193"/>
      <c r="O64" s="457"/>
      <c r="P64" s="457"/>
      <c r="Q64" s="457"/>
      <c r="R64" s="457"/>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c r="AT64" s="457"/>
      <c r="AU64" s="457"/>
      <c r="AV64" s="457"/>
      <c r="AW64" s="457"/>
      <c r="AX64" s="457"/>
      <c r="AY64" s="457"/>
      <c r="AZ64" s="457"/>
      <c r="BA64" s="457"/>
      <c r="BB64" s="457"/>
      <c r="BC64" s="457"/>
      <c r="BD64" s="457"/>
      <c r="BE64" s="457"/>
      <c r="BF64" s="457"/>
      <c r="BG64" s="457"/>
      <c r="BH64" s="457"/>
      <c r="BI64" s="457"/>
      <c r="BJ64" s="457"/>
      <c r="BK64" s="457"/>
      <c r="BL64" s="457"/>
      <c r="BM64" s="457"/>
      <c r="BN64" s="457"/>
      <c r="BO64" s="457"/>
      <c r="BP64" s="457"/>
      <c r="BQ64" s="457"/>
      <c r="BR64" s="457"/>
      <c r="BS64" s="457"/>
      <c r="BT64" s="457"/>
      <c r="BU64" s="457"/>
      <c r="BV64" s="457"/>
      <c r="BW64" s="457"/>
      <c r="BX64" s="457"/>
      <c r="BY64" s="457"/>
      <c r="BZ64" s="457"/>
      <c r="CA64" s="457"/>
      <c r="CB64" s="457"/>
      <c r="CC64" s="457"/>
      <c r="CD64" s="457"/>
      <c r="CE64" s="193"/>
      <c r="CF64" s="193"/>
      <c r="CG64" s="193"/>
      <c r="CH64" s="193"/>
      <c r="CI64" s="193"/>
      <c r="CJ64" s="193"/>
      <c r="CK64" s="193"/>
      <c r="CL64" s="193"/>
      <c r="CM64" s="193"/>
      <c r="CN64" s="193"/>
      <c r="CO64" s="193"/>
      <c r="CP64" s="193"/>
    </row>
    <row r="65" spans="1:105" ht="23.25" hidden="1" customHeight="1">
      <c r="A65" s="77" t="s">
        <v>65</v>
      </c>
      <c r="B65" s="76"/>
      <c r="C65" s="76"/>
      <c r="D65" s="76"/>
      <c r="E65" s="78"/>
      <c r="F65" s="165"/>
      <c r="G65" s="216"/>
      <c r="H65" s="216"/>
      <c r="I65" s="216"/>
      <c r="J65" s="216"/>
      <c r="K65" s="216"/>
      <c r="M65" s="193"/>
      <c r="N65" s="193"/>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7"/>
      <c r="AY65" s="457"/>
      <c r="AZ65" s="457"/>
      <c r="BA65" s="457"/>
      <c r="BB65" s="457"/>
      <c r="BC65" s="457"/>
      <c r="BD65" s="457"/>
      <c r="BE65" s="457"/>
      <c r="BF65" s="457"/>
      <c r="BG65" s="457"/>
      <c r="BH65" s="457"/>
      <c r="BI65" s="457"/>
      <c r="BJ65" s="457"/>
      <c r="BK65" s="457"/>
      <c r="BL65" s="457"/>
      <c r="BM65" s="457"/>
      <c r="BN65" s="457"/>
      <c r="BO65" s="457"/>
      <c r="BP65" s="457"/>
      <c r="BQ65" s="457"/>
      <c r="BR65" s="457"/>
      <c r="BS65" s="457"/>
      <c r="BT65" s="457"/>
      <c r="BU65" s="457"/>
      <c r="BV65" s="457"/>
      <c r="BW65" s="457"/>
      <c r="BX65" s="457"/>
      <c r="BY65" s="457"/>
      <c r="BZ65" s="457"/>
      <c r="CA65" s="457"/>
      <c r="CB65" s="457"/>
      <c r="CC65" s="457"/>
      <c r="CD65" s="457"/>
      <c r="CE65" s="193"/>
      <c r="CF65" s="193"/>
      <c r="CG65" s="193"/>
      <c r="CH65" s="193"/>
      <c r="CI65" s="193"/>
      <c r="CJ65" s="193"/>
      <c r="CK65" s="193"/>
      <c r="CL65" s="193"/>
      <c r="CM65" s="193"/>
      <c r="CN65" s="193"/>
      <c r="CO65" s="193"/>
      <c r="CP65" s="193"/>
    </row>
    <row r="66" spans="1:105" ht="17.25" hidden="1" customHeight="1">
      <c r="A66" s="77"/>
      <c r="B66" s="76"/>
      <c r="C66" s="76"/>
      <c r="D66" s="76"/>
      <c r="E66" s="78"/>
      <c r="F66" s="165"/>
      <c r="G66" s="216"/>
      <c r="H66" s="216"/>
      <c r="I66" s="216"/>
      <c r="J66" s="216"/>
      <c r="K66" s="216"/>
      <c r="M66" s="193"/>
      <c r="N66" s="193"/>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7"/>
      <c r="AY66" s="457"/>
      <c r="AZ66" s="457"/>
      <c r="BA66" s="457"/>
      <c r="BB66" s="457"/>
      <c r="BC66" s="457"/>
      <c r="BD66" s="457"/>
      <c r="BE66" s="457"/>
      <c r="BF66" s="457"/>
      <c r="BG66" s="457"/>
      <c r="BH66" s="457"/>
      <c r="BI66" s="457"/>
      <c r="BJ66" s="457"/>
      <c r="BK66" s="457"/>
      <c r="BL66" s="457"/>
      <c r="BM66" s="457"/>
      <c r="BN66" s="457"/>
      <c r="BO66" s="457"/>
      <c r="BP66" s="457"/>
      <c r="BQ66" s="457"/>
      <c r="BR66" s="457"/>
      <c r="BS66" s="457"/>
      <c r="BT66" s="457"/>
      <c r="BU66" s="457"/>
      <c r="BV66" s="457"/>
      <c r="BW66" s="457"/>
      <c r="BX66" s="457"/>
      <c r="BY66" s="457"/>
      <c r="BZ66" s="457"/>
      <c r="CA66" s="457"/>
      <c r="CB66" s="457"/>
      <c r="CC66" s="457"/>
      <c r="CD66" s="457"/>
      <c r="CE66" s="193"/>
      <c r="CF66" s="193"/>
      <c r="CG66" s="193"/>
      <c r="CH66" s="193"/>
      <c r="CI66" s="193"/>
      <c r="CJ66" s="193"/>
      <c r="CK66" s="193"/>
      <c r="CL66" s="193"/>
      <c r="CM66" s="193"/>
      <c r="CN66" s="193"/>
      <c r="CO66" s="193"/>
      <c r="CP66" s="193"/>
    </row>
    <row r="67" spans="1:105" ht="30" customHeight="1">
      <c r="A67" s="34" t="s">
        <v>237</v>
      </c>
      <c r="B67" s="76">
        <v>1980</v>
      </c>
      <c r="C67" s="76" t="s">
        <v>60</v>
      </c>
      <c r="D67" s="76"/>
      <c r="E67" s="78"/>
      <c r="F67" s="165"/>
      <c r="G67" s="216"/>
      <c r="H67" s="216"/>
      <c r="I67" s="216"/>
      <c r="J67" s="216"/>
      <c r="K67" s="216"/>
      <c r="M67" s="193"/>
      <c r="N67" s="193"/>
      <c r="O67" s="456">
        <f>'Стр.9-11'!H5</f>
        <v>13528073.480000002</v>
      </c>
      <c r="P67" s="457"/>
      <c r="Q67" s="457"/>
      <c r="R67" s="457"/>
      <c r="S67" s="457"/>
      <c r="T67" s="457"/>
      <c r="U67" s="457"/>
      <c r="V67" s="457"/>
      <c r="W67" s="457"/>
      <c r="X67" s="457"/>
      <c r="Y67" s="457"/>
      <c r="Z67" s="457"/>
      <c r="AA67" s="457"/>
      <c r="AB67" s="457"/>
      <c r="AC67" s="457"/>
      <c r="AD67" s="457"/>
      <c r="AE67" s="457"/>
      <c r="AF67" s="456">
        <f>'Стр.9-11'!I5</f>
        <v>13975774.5</v>
      </c>
      <c r="AG67" s="457"/>
      <c r="AH67" s="457"/>
      <c r="AI67" s="457"/>
      <c r="AJ67" s="457"/>
      <c r="AK67" s="457"/>
      <c r="AL67" s="457"/>
      <c r="AM67" s="457"/>
      <c r="AN67" s="457"/>
      <c r="AO67" s="457"/>
      <c r="AP67" s="457"/>
      <c r="AQ67" s="457"/>
      <c r="AR67" s="457"/>
      <c r="AS67" s="457"/>
      <c r="AT67" s="457"/>
      <c r="AU67" s="457"/>
      <c r="AV67" s="457"/>
      <c r="AW67" s="456">
        <f>'Стр.9-11'!J5</f>
        <v>14123009</v>
      </c>
      <c r="AX67" s="457"/>
      <c r="AY67" s="457"/>
      <c r="AZ67" s="457"/>
      <c r="BA67" s="457"/>
      <c r="BB67" s="457"/>
      <c r="BC67" s="457"/>
      <c r="BD67" s="457"/>
      <c r="BE67" s="457"/>
      <c r="BF67" s="457"/>
      <c r="BG67" s="457"/>
      <c r="BH67" s="457"/>
      <c r="BI67" s="457"/>
      <c r="BJ67" s="457"/>
      <c r="BK67" s="457"/>
      <c r="BL67" s="457"/>
      <c r="BM67" s="457"/>
      <c r="BN67" s="456">
        <f>'Стр.9-11'!K5</f>
        <v>10890931.359999999</v>
      </c>
      <c r="BO67" s="457"/>
      <c r="BP67" s="457"/>
      <c r="BQ67" s="457"/>
      <c r="BR67" s="457"/>
      <c r="BS67" s="457"/>
      <c r="BT67" s="457"/>
      <c r="BU67" s="457"/>
      <c r="BV67" s="457"/>
      <c r="BW67" s="457"/>
      <c r="BX67" s="457"/>
      <c r="BY67" s="457"/>
      <c r="BZ67" s="457"/>
      <c r="CA67" s="457"/>
      <c r="CB67" s="457"/>
      <c r="CC67" s="457"/>
      <c r="CD67" s="457"/>
      <c r="CE67" s="193"/>
      <c r="CF67" s="193"/>
      <c r="CG67" s="193"/>
      <c r="CH67" s="193"/>
      <c r="CI67" s="193"/>
      <c r="CJ67" s="193"/>
      <c r="CK67" s="193"/>
      <c r="CL67" s="193"/>
      <c r="CM67" s="193"/>
      <c r="CN67" s="193"/>
      <c r="CO67" s="193"/>
      <c r="CP67" s="193"/>
    </row>
    <row r="68" spans="1:105" s="87" customFormat="1" ht="30" customHeight="1">
      <c r="A68" s="434" t="s">
        <v>98</v>
      </c>
      <c r="B68" s="431">
        <v>1981</v>
      </c>
      <c r="C68" s="431">
        <v>510</v>
      </c>
      <c r="D68" s="431"/>
      <c r="E68" s="438"/>
      <c r="F68" s="428"/>
      <c r="G68" s="438"/>
      <c r="H68" s="438"/>
      <c r="I68" s="438"/>
      <c r="J68" s="437" t="s">
        <v>60</v>
      </c>
      <c r="K68" s="437" t="s">
        <v>60</v>
      </c>
      <c r="M68" s="194"/>
      <c r="N68" s="194"/>
      <c r="O68" s="456">
        <f>O58-O67</f>
        <v>0</v>
      </c>
      <c r="P68" s="457"/>
      <c r="Q68" s="457"/>
      <c r="R68" s="457"/>
      <c r="S68" s="457"/>
      <c r="T68" s="457"/>
      <c r="U68" s="457"/>
      <c r="V68" s="457"/>
      <c r="W68" s="457"/>
      <c r="X68" s="457"/>
      <c r="Y68" s="457"/>
      <c r="Z68" s="457"/>
      <c r="AA68" s="457"/>
      <c r="AB68" s="457"/>
      <c r="AC68" s="457"/>
      <c r="AD68" s="457"/>
      <c r="AE68" s="457"/>
      <c r="AF68" s="456">
        <f t="shared" ref="AF68" si="7">AF58-AF67</f>
        <v>0</v>
      </c>
      <c r="AG68" s="457"/>
      <c r="AH68" s="457"/>
      <c r="AI68" s="457"/>
      <c r="AJ68" s="457"/>
      <c r="AK68" s="457"/>
      <c r="AL68" s="457"/>
      <c r="AM68" s="457"/>
      <c r="AN68" s="457"/>
      <c r="AO68" s="457"/>
      <c r="AP68" s="457"/>
      <c r="AQ68" s="457"/>
      <c r="AR68" s="457"/>
      <c r="AS68" s="457"/>
      <c r="AT68" s="457"/>
      <c r="AU68" s="457"/>
      <c r="AV68" s="457"/>
      <c r="AW68" s="456">
        <f t="shared" ref="AW68" si="8">AW58-AW67</f>
        <v>0</v>
      </c>
      <c r="AX68" s="457"/>
      <c r="AY68" s="457"/>
      <c r="AZ68" s="457"/>
      <c r="BA68" s="457"/>
      <c r="BB68" s="457"/>
      <c r="BC68" s="457"/>
      <c r="BD68" s="457"/>
      <c r="BE68" s="457"/>
      <c r="BF68" s="457"/>
      <c r="BG68" s="457"/>
      <c r="BH68" s="457"/>
      <c r="BI68" s="457"/>
      <c r="BJ68" s="457"/>
      <c r="BK68" s="457"/>
      <c r="BL68" s="457"/>
      <c r="BM68" s="457"/>
      <c r="BN68" s="456">
        <f t="shared" ref="BN68" si="9">BN58-BN67</f>
        <v>0</v>
      </c>
      <c r="BO68" s="457"/>
      <c r="BP68" s="457"/>
      <c r="BQ68" s="457"/>
      <c r="BR68" s="457"/>
      <c r="BS68" s="457"/>
      <c r="BT68" s="457"/>
      <c r="BU68" s="457"/>
      <c r="BV68" s="457"/>
      <c r="BW68" s="457"/>
      <c r="BX68" s="457"/>
      <c r="BY68" s="457"/>
      <c r="BZ68" s="457"/>
      <c r="CA68" s="457"/>
      <c r="CB68" s="457"/>
      <c r="CC68" s="457"/>
      <c r="CD68" s="457"/>
      <c r="CE68" s="194"/>
      <c r="CF68" s="194"/>
      <c r="CG68" s="194"/>
      <c r="CH68" s="194"/>
      <c r="CI68" s="194"/>
      <c r="CJ68" s="194"/>
      <c r="CK68" s="194"/>
      <c r="CL68" s="194"/>
      <c r="CM68" s="194"/>
      <c r="CN68" s="194"/>
      <c r="CO68" s="194"/>
      <c r="CP68" s="194"/>
    </row>
    <row r="69" spans="1:105" s="87" customFormat="1" ht="50.25" customHeight="1">
      <c r="A69" s="434"/>
      <c r="B69" s="431"/>
      <c r="C69" s="431"/>
      <c r="D69" s="431"/>
      <c r="E69" s="438"/>
      <c r="F69" s="428"/>
      <c r="G69" s="438"/>
      <c r="H69" s="438"/>
      <c r="I69" s="438"/>
      <c r="J69" s="437"/>
      <c r="K69" s="437"/>
      <c r="L69" s="150"/>
      <c r="M69" s="194"/>
      <c r="N69" s="194"/>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7"/>
      <c r="AY69" s="457"/>
      <c r="AZ69" s="457"/>
      <c r="BA69" s="457"/>
      <c r="BB69" s="457"/>
      <c r="BC69" s="457"/>
      <c r="BD69" s="457"/>
      <c r="BE69" s="457"/>
      <c r="BF69" s="457"/>
      <c r="BG69" s="457"/>
      <c r="BH69" s="457"/>
      <c r="BI69" s="457"/>
      <c r="BJ69" s="457"/>
      <c r="BK69" s="457"/>
      <c r="BL69" s="457"/>
      <c r="BM69" s="457"/>
      <c r="BN69" s="457"/>
      <c r="BO69" s="457"/>
      <c r="BP69" s="457"/>
      <c r="BQ69" s="457"/>
      <c r="BR69" s="457"/>
      <c r="BS69" s="457"/>
      <c r="BT69" s="457"/>
      <c r="BU69" s="457"/>
      <c r="BV69" s="457"/>
      <c r="BW69" s="457"/>
      <c r="BX69" s="457"/>
      <c r="BY69" s="457"/>
      <c r="BZ69" s="457"/>
      <c r="CA69" s="457"/>
      <c r="CB69" s="457"/>
      <c r="CC69" s="457"/>
      <c r="CD69" s="457"/>
      <c r="CE69" s="194"/>
      <c r="CF69" s="194"/>
      <c r="CG69" s="194"/>
      <c r="CH69" s="194"/>
      <c r="CI69" s="194"/>
      <c r="CJ69" s="194"/>
      <c r="CK69" s="194"/>
      <c r="CL69" s="194"/>
      <c r="CM69" s="194"/>
      <c r="CN69" s="194"/>
      <c r="CO69" s="194"/>
      <c r="CP69" s="194"/>
    </row>
    <row r="70" spans="1:105" ht="19.5" customHeight="1">
      <c r="A70" s="77"/>
      <c r="B70" s="76"/>
      <c r="C70" s="76"/>
      <c r="D70" s="76"/>
      <c r="E70" s="78"/>
      <c r="F70" s="165"/>
      <c r="G70" s="78"/>
      <c r="H70" s="78"/>
      <c r="I70" s="78"/>
      <c r="J70" s="78"/>
      <c r="K70" s="177"/>
      <c r="M70" s="220"/>
      <c r="N70" s="220"/>
      <c r="O70" s="456">
        <f>G112+G113+G114+G115+G116+G117+G118+G119+G120+G121+G223+G224+G225+G227+G151+G226</f>
        <v>5330167.0500000007</v>
      </c>
      <c r="P70" s="457"/>
      <c r="Q70" s="457"/>
      <c r="R70" s="457"/>
      <c r="S70" s="457"/>
      <c r="T70" s="457"/>
      <c r="U70" s="457"/>
      <c r="V70" s="457"/>
      <c r="W70" s="457"/>
      <c r="X70" s="457"/>
      <c r="Y70" s="457"/>
      <c r="Z70" s="457"/>
      <c r="AA70" s="457"/>
      <c r="AB70" s="457"/>
      <c r="AC70" s="457"/>
      <c r="AD70" s="457"/>
      <c r="AE70" s="457"/>
      <c r="AF70" s="456">
        <f>H112+H113+H114+H115+H116+H117+H118+H119+H120+H121+H223+H224+H225+H227</f>
        <v>5823779.2200000007</v>
      </c>
      <c r="AG70" s="457"/>
      <c r="AH70" s="457"/>
      <c r="AI70" s="457"/>
      <c r="AJ70" s="457"/>
      <c r="AK70" s="457"/>
      <c r="AL70" s="457"/>
      <c r="AM70" s="457"/>
      <c r="AN70" s="457"/>
      <c r="AO70" s="457"/>
      <c r="AP70" s="457"/>
      <c r="AQ70" s="457"/>
      <c r="AR70" s="457"/>
      <c r="AS70" s="457"/>
      <c r="AT70" s="457"/>
      <c r="AU70" s="457"/>
      <c r="AV70" s="457"/>
      <c r="AW70" s="456">
        <f>I112+I113+I114+I115+I116+I117+I118+I119+I120+I121+I223+I224+I225+I227</f>
        <v>5971013.7200000007</v>
      </c>
      <c r="AX70" s="457"/>
      <c r="AY70" s="457"/>
      <c r="AZ70" s="457"/>
      <c r="BA70" s="457"/>
      <c r="BB70" s="457"/>
      <c r="BC70" s="457"/>
      <c r="BD70" s="457"/>
      <c r="BE70" s="457"/>
      <c r="BF70" s="457"/>
      <c r="BG70" s="457"/>
      <c r="BH70" s="457"/>
      <c r="BI70" s="457"/>
      <c r="BJ70" s="457"/>
      <c r="BK70" s="457"/>
      <c r="BL70" s="457"/>
      <c r="BM70" s="457"/>
      <c r="BN70" s="457"/>
      <c r="BO70" s="457"/>
      <c r="BP70" s="457"/>
      <c r="BQ70" s="457"/>
      <c r="BR70" s="457"/>
      <c r="BS70" s="457"/>
      <c r="BT70" s="457"/>
      <c r="BU70" s="457"/>
      <c r="BV70" s="457"/>
      <c r="BW70" s="457"/>
      <c r="BX70" s="457"/>
      <c r="BY70" s="457"/>
      <c r="BZ70" s="457"/>
      <c r="CA70" s="457"/>
      <c r="CB70" s="457"/>
      <c r="CC70" s="457"/>
      <c r="CD70" s="457"/>
      <c r="CE70" s="220"/>
      <c r="CF70" s="220"/>
      <c r="CG70" s="220"/>
      <c r="CH70" s="220"/>
      <c r="CI70" s="193"/>
      <c r="CJ70" s="193"/>
      <c r="CK70" s="193"/>
      <c r="CL70" s="193"/>
      <c r="CM70" s="193"/>
      <c r="CN70" s="193"/>
      <c r="CO70" s="193"/>
      <c r="CP70" s="193"/>
    </row>
    <row r="71" spans="1:105" s="57" customFormat="1" ht="30" customHeight="1">
      <c r="A71" s="124" t="s">
        <v>69</v>
      </c>
      <c r="B71" s="125">
        <v>2000</v>
      </c>
      <c r="C71" s="125" t="s">
        <v>60</v>
      </c>
      <c r="D71" s="126"/>
      <c r="E71" s="121">
        <f>E73+E74+E75</f>
        <v>64535235.420000002</v>
      </c>
      <c r="F71" s="164">
        <f t="shared" ref="F71" si="10">F73+F74+F75</f>
        <v>61416064.25</v>
      </c>
      <c r="G71" s="121">
        <f>G73+G74+G75</f>
        <v>78982696.379999995</v>
      </c>
      <c r="H71" s="121">
        <f>H73+H74+H75</f>
        <v>84689912.973580003</v>
      </c>
      <c r="I71" s="121">
        <f>I73+I74+I75</f>
        <v>89027438.971180007</v>
      </c>
      <c r="J71" s="121">
        <f t="shared" ref="J71:K71" si="11">J73+J74+J75</f>
        <v>89027438.971180007</v>
      </c>
      <c r="K71" s="121">
        <f t="shared" si="11"/>
        <v>89027438.971180007</v>
      </c>
      <c r="L71" s="88"/>
      <c r="M71" s="220"/>
      <c r="N71" s="220"/>
      <c r="O71" s="456">
        <f>G144+G146+G189+G270</f>
        <v>4513361.1500000004</v>
      </c>
      <c r="P71" s="457"/>
      <c r="Q71" s="457"/>
      <c r="R71" s="457"/>
      <c r="S71" s="457"/>
      <c r="T71" s="457"/>
      <c r="U71" s="457"/>
      <c r="V71" s="457"/>
      <c r="W71" s="457"/>
      <c r="X71" s="457"/>
      <c r="Y71" s="457"/>
      <c r="Z71" s="457"/>
      <c r="AA71" s="457"/>
      <c r="AB71" s="457"/>
      <c r="AC71" s="457"/>
      <c r="AD71" s="457"/>
      <c r="AE71" s="457"/>
      <c r="AF71" s="456">
        <f>H144+H146+H270</f>
        <v>4467450</v>
      </c>
      <c r="AG71" s="457"/>
      <c r="AH71" s="457"/>
      <c r="AI71" s="457"/>
      <c r="AJ71" s="457"/>
      <c r="AK71" s="457"/>
      <c r="AL71" s="457"/>
      <c r="AM71" s="457"/>
      <c r="AN71" s="457"/>
      <c r="AO71" s="457"/>
      <c r="AP71" s="457"/>
      <c r="AQ71" s="457"/>
      <c r="AR71" s="457"/>
      <c r="AS71" s="457"/>
      <c r="AT71" s="457"/>
      <c r="AU71" s="457"/>
      <c r="AV71" s="457"/>
      <c r="AW71" s="456">
        <f>I144+I146+I270</f>
        <v>4467450</v>
      </c>
      <c r="AX71" s="457"/>
      <c r="AY71" s="457"/>
      <c r="AZ71" s="457"/>
      <c r="BA71" s="457"/>
      <c r="BB71" s="457"/>
      <c r="BC71" s="457"/>
      <c r="BD71" s="457"/>
      <c r="BE71" s="457"/>
      <c r="BF71" s="457"/>
      <c r="BG71" s="457"/>
      <c r="BH71" s="457"/>
      <c r="BI71" s="457"/>
      <c r="BJ71" s="457"/>
      <c r="BK71" s="457"/>
      <c r="BL71" s="457"/>
      <c r="BM71" s="457"/>
      <c r="BN71" s="457"/>
      <c r="BO71" s="457"/>
      <c r="BP71" s="457"/>
      <c r="BQ71" s="457"/>
      <c r="BR71" s="457"/>
      <c r="BS71" s="457"/>
      <c r="BT71" s="457"/>
      <c r="BU71" s="457"/>
      <c r="BV71" s="457"/>
      <c r="BW71" s="457"/>
      <c r="BX71" s="457"/>
      <c r="BY71" s="457"/>
      <c r="BZ71" s="457"/>
      <c r="CA71" s="457"/>
      <c r="CB71" s="457"/>
      <c r="CC71" s="457"/>
      <c r="CD71" s="457"/>
      <c r="CE71" s="220"/>
      <c r="CF71" s="220"/>
      <c r="CG71" s="220"/>
      <c r="CH71" s="220"/>
      <c r="CI71" s="195"/>
      <c r="CJ71" s="195"/>
      <c r="CK71" s="195"/>
      <c r="CL71" s="195"/>
      <c r="CM71" s="195"/>
      <c r="CN71" s="195"/>
      <c r="CO71" s="195"/>
      <c r="CP71" s="195"/>
    </row>
    <row r="72" spans="1:105" s="98" customFormat="1" ht="30" customHeight="1">
      <c r="A72" s="86" t="s">
        <v>230</v>
      </c>
      <c r="B72" s="93"/>
      <c r="C72" s="93"/>
      <c r="D72" s="85"/>
      <c r="E72" s="94"/>
      <c r="F72" s="166"/>
      <c r="G72" s="94"/>
      <c r="H72" s="94"/>
      <c r="I72" s="94"/>
      <c r="J72" s="94"/>
      <c r="K72" s="176"/>
      <c r="L72" s="97"/>
      <c r="M72" s="220"/>
      <c r="N72" s="220"/>
      <c r="O72" s="456">
        <f>G285+G286+G283+G284</f>
        <v>3684545.2800000003</v>
      </c>
      <c r="P72" s="457"/>
      <c r="Q72" s="457"/>
      <c r="R72" s="457"/>
      <c r="S72" s="457"/>
      <c r="T72" s="457"/>
      <c r="U72" s="457"/>
      <c r="V72" s="457"/>
      <c r="W72" s="457"/>
      <c r="X72" s="457"/>
      <c r="Y72" s="457"/>
      <c r="Z72" s="457"/>
      <c r="AA72" s="457"/>
      <c r="AB72" s="457"/>
      <c r="AC72" s="457"/>
      <c r="AD72" s="457"/>
      <c r="AE72" s="457"/>
      <c r="AF72" s="425">
        <f>H285+H286</f>
        <v>3684545.2800000003</v>
      </c>
      <c r="AG72" s="426"/>
      <c r="AH72" s="426"/>
      <c r="AI72" s="426"/>
      <c r="AJ72" s="426"/>
      <c r="AK72" s="426"/>
      <c r="AL72" s="426"/>
      <c r="AM72" s="426"/>
      <c r="AN72" s="426"/>
      <c r="AO72" s="426"/>
      <c r="AP72" s="426"/>
      <c r="AQ72" s="426"/>
      <c r="AR72" s="426"/>
      <c r="AS72" s="426"/>
      <c r="AT72" s="426"/>
      <c r="AU72" s="426"/>
      <c r="AV72" s="427"/>
      <c r="AW72" s="425">
        <f>I286+I285</f>
        <v>3684545.2800000003</v>
      </c>
      <c r="AX72" s="426"/>
      <c r="AY72" s="426"/>
      <c r="AZ72" s="426"/>
      <c r="BA72" s="426"/>
      <c r="BB72" s="426"/>
      <c r="BC72" s="426"/>
      <c r="BD72" s="426"/>
      <c r="BE72" s="426"/>
      <c r="BF72" s="426"/>
      <c r="BG72" s="426"/>
      <c r="BH72" s="426"/>
      <c r="BI72" s="426"/>
      <c r="BJ72" s="426"/>
      <c r="BK72" s="426"/>
      <c r="BL72" s="426"/>
      <c r="BM72" s="427"/>
      <c r="BN72" s="425"/>
      <c r="BO72" s="426"/>
      <c r="BP72" s="426"/>
      <c r="BQ72" s="426"/>
      <c r="BR72" s="426"/>
      <c r="BS72" s="426"/>
      <c r="BT72" s="426"/>
      <c r="BU72" s="426"/>
      <c r="BV72" s="426"/>
      <c r="BW72" s="426"/>
      <c r="BX72" s="426"/>
      <c r="BY72" s="426"/>
      <c r="BZ72" s="426"/>
      <c r="CA72" s="426"/>
      <c r="CB72" s="426"/>
      <c r="CC72" s="426"/>
      <c r="CD72" s="427"/>
      <c r="CE72" s="220"/>
      <c r="CF72" s="220"/>
      <c r="CG72" s="220"/>
      <c r="CH72" s="220"/>
      <c r="CI72" s="198"/>
      <c r="CJ72" s="198"/>
      <c r="CK72" s="198"/>
      <c r="CL72" s="198"/>
      <c r="CM72" s="198"/>
      <c r="CN72" s="198"/>
      <c r="CO72" s="198"/>
      <c r="CP72" s="198"/>
    </row>
    <row r="73" spans="1:105" s="123" customFormat="1" ht="30" customHeight="1">
      <c r="A73" s="127" t="s">
        <v>176</v>
      </c>
      <c r="B73" s="127"/>
      <c r="C73" s="126" t="s">
        <v>3</v>
      </c>
      <c r="D73" s="127"/>
      <c r="E73" s="128">
        <f>E77+E122+E135+E140+E147+E163+E174+E185+E190+E152</f>
        <v>18581527.909999996</v>
      </c>
      <c r="F73" s="142">
        <f>F77+F122+F135+F140+F147+F163+F174+F185+F190+F152+F198</f>
        <v>14874930.25</v>
      </c>
      <c r="G73" s="142">
        <f>G77+G122+G135+G140+G147+G163+G174+G185+G190+G152</f>
        <v>13246772.030000001</v>
      </c>
      <c r="H73" s="128">
        <f>H77+H122+H135+H140+H147+H185+H190+H152</f>
        <v>14166496.9</v>
      </c>
      <c r="I73" s="128">
        <f t="shared" ref="I73:K73" si="12">I77+I122+I135+I140+I147+I185+I190+I152</f>
        <v>14170496.9</v>
      </c>
      <c r="J73" s="128">
        <f t="shared" si="12"/>
        <v>14170496.9</v>
      </c>
      <c r="K73" s="128">
        <f t="shared" si="12"/>
        <v>14170496.9</v>
      </c>
      <c r="L73" s="122"/>
      <c r="M73" s="196"/>
      <c r="N73" s="221"/>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7"/>
      <c r="AY73" s="457"/>
      <c r="AZ73" s="457"/>
      <c r="BA73" s="457"/>
      <c r="BB73" s="457"/>
      <c r="BC73" s="457"/>
      <c r="BD73" s="457"/>
      <c r="BE73" s="457"/>
      <c r="BF73" s="457"/>
      <c r="BG73" s="457"/>
      <c r="BH73" s="457"/>
      <c r="BI73" s="457"/>
      <c r="BJ73" s="457"/>
      <c r="BK73" s="457"/>
      <c r="BL73" s="457"/>
      <c r="BM73" s="457"/>
      <c r="BN73" s="457"/>
      <c r="BO73" s="457"/>
      <c r="BP73" s="457"/>
      <c r="BQ73" s="457"/>
      <c r="BR73" s="457"/>
      <c r="BS73" s="457"/>
      <c r="BT73" s="457"/>
      <c r="BU73" s="457"/>
      <c r="BV73" s="457"/>
      <c r="BW73" s="457"/>
      <c r="BX73" s="457"/>
      <c r="BY73" s="457"/>
      <c r="BZ73" s="457"/>
      <c r="CA73" s="457"/>
      <c r="CB73" s="457"/>
      <c r="CC73" s="457"/>
      <c r="CD73" s="457"/>
      <c r="CE73" s="221"/>
      <c r="CF73" s="198"/>
      <c r="CG73" s="198"/>
      <c r="CH73" s="198"/>
      <c r="CI73" s="198"/>
      <c r="CJ73" s="198"/>
      <c r="CK73" s="198"/>
      <c r="CL73" s="198"/>
      <c r="CM73" s="198"/>
      <c r="CN73" s="198"/>
      <c r="CO73" s="198"/>
      <c r="CP73" s="198"/>
      <c r="CQ73" s="98"/>
    </row>
    <row r="74" spans="1:105" s="123" customFormat="1" ht="30" customHeight="1">
      <c r="A74" s="127" t="s">
        <v>61</v>
      </c>
      <c r="B74" s="127"/>
      <c r="C74" s="126" t="s">
        <v>3</v>
      </c>
      <c r="D74" s="127"/>
      <c r="E74" s="128">
        <f>E205+E228+E250+E261+E266+E271+E239</f>
        <v>42228950.420000002</v>
      </c>
      <c r="F74" s="142">
        <f>F205+F228+F250+F261+F266+F271+F239</f>
        <v>42816376.910000004</v>
      </c>
      <c r="G74" s="128">
        <f t="shared" ref="G74:I74" si="13">G205+G228+G250+G261+G266+G271+G239</f>
        <v>62051379.07</v>
      </c>
      <c r="H74" s="128">
        <f>H205+H228+H250+H261+H266+H271+H239</f>
        <v>66838870.793579996</v>
      </c>
      <c r="I74" s="128">
        <f t="shared" si="13"/>
        <v>71172396.79118</v>
      </c>
      <c r="J74" s="128">
        <f>I74</f>
        <v>71172396.79118</v>
      </c>
      <c r="K74" s="128">
        <f>J74</f>
        <v>71172396.79118</v>
      </c>
      <c r="L74" s="122"/>
      <c r="M74" s="196"/>
      <c r="N74" s="221"/>
      <c r="O74" s="456">
        <f>O72+O71+O70</f>
        <v>13528073.48</v>
      </c>
      <c r="P74" s="457"/>
      <c r="Q74" s="457"/>
      <c r="R74" s="457"/>
      <c r="S74" s="457"/>
      <c r="T74" s="457"/>
      <c r="U74" s="457"/>
      <c r="V74" s="457"/>
      <c r="W74" s="457"/>
      <c r="X74" s="457"/>
      <c r="Y74" s="457"/>
      <c r="Z74" s="457"/>
      <c r="AA74" s="457"/>
      <c r="AB74" s="457"/>
      <c r="AC74" s="457"/>
      <c r="AD74" s="457"/>
      <c r="AE74" s="457"/>
      <c r="AF74" s="456">
        <f t="shared" ref="AF74" si="14">AF72+AF71+AF70</f>
        <v>13975774.5</v>
      </c>
      <c r="AG74" s="457"/>
      <c r="AH74" s="457"/>
      <c r="AI74" s="457"/>
      <c r="AJ74" s="457"/>
      <c r="AK74" s="457"/>
      <c r="AL74" s="457"/>
      <c r="AM74" s="457"/>
      <c r="AN74" s="457"/>
      <c r="AO74" s="457"/>
      <c r="AP74" s="457"/>
      <c r="AQ74" s="457"/>
      <c r="AR74" s="457"/>
      <c r="AS74" s="457"/>
      <c r="AT74" s="457"/>
      <c r="AU74" s="457"/>
      <c r="AV74" s="457"/>
      <c r="AW74" s="456">
        <f t="shared" ref="AW74" si="15">AW72+AW71+AW70</f>
        <v>14123009</v>
      </c>
      <c r="AX74" s="457"/>
      <c r="AY74" s="457"/>
      <c r="AZ74" s="457"/>
      <c r="BA74" s="457"/>
      <c r="BB74" s="457"/>
      <c r="BC74" s="457"/>
      <c r="BD74" s="457"/>
      <c r="BE74" s="457"/>
      <c r="BF74" s="457"/>
      <c r="BG74" s="457"/>
      <c r="BH74" s="457"/>
      <c r="BI74" s="457"/>
      <c r="BJ74" s="457"/>
      <c r="BK74" s="457"/>
      <c r="BL74" s="457"/>
      <c r="BM74" s="457"/>
      <c r="BN74" s="456">
        <f>BN72+BN71+BN70</f>
        <v>0</v>
      </c>
      <c r="BO74" s="457"/>
      <c r="BP74" s="457"/>
      <c r="BQ74" s="457"/>
      <c r="BR74" s="457"/>
      <c r="BS74" s="457"/>
      <c r="BT74" s="457"/>
      <c r="BU74" s="457"/>
      <c r="BV74" s="457"/>
      <c r="BW74" s="457"/>
      <c r="BX74" s="457"/>
      <c r="BY74" s="457"/>
      <c r="BZ74" s="457"/>
      <c r="CA74" s="457"/>
      <c r="CB74" s="457"/>
      <c r="CC74" s="457"/>
      <c r="CD74" s="457"/>
      <c r="CE74" s="221"/>
      <c r="CF74" s="198"/>
      <c r="CG74" s="198"/>
      <c r="CH74" s="198"/>
      <c r="CI74" s="198"/>
      <c r="CJ74" s="198"/>
      <c r="CK74" s="198"/>
      <c r="CL74" s="198"/>
      <c r="CM74" s="198"/>
      <c r="CN74" s="198"/>
      <c r="CO74" s="198"/>
      <c r="CP74" s="198"/>
      <c r="CQ74" s="98"/>
    </row>
    <row r="75" spans="1:105" s="123" customFormat="1" ht="30" customHeight="1">
      <c r="A75" s="127" t="s">
        <v>62</v>
      </c>
      <c r="B75" s="127"/>
      <c r="C75" s="126" t="s">
        <v>3</v>
      </c>
      <c r="D75" s="127"/>
      <c r="E75" s="128">
        <f>E279</f>
        <v>3724757.09</v>
      </c>
      <c r="F75" s="142">
        <f t="shared" ref="F75:I75" si="16">F279</f>
        <v>3724757.09</v>
      </c>
      <c r="G75" s="128">
        <f>G279</f>
        <v>3684545.2800000003</v>
      </c>
      <c r="H75" s="128">
        <f t="shared" si="16"/>
        <v>3684545.2800000003</v>
      </c>
      <c r="I75" s="128">
        <f t="shared" si="16"/>
        <v>3684545.2800000003</v>
      </c>
      <c r="J75" s="128">
        <f>J279</f>
        <v>3684545.2800000003</v>
      </c>
      <c r="K75" s="128">
        <f>K279</f>
        <v>3684545.2800000003</v>
      </c>
      <c r="L75" s="122"/>
      <c r="M75" s="196"/>
      <c r="N75" s="221"/>
      <c r="O75" s="456">
        <f>O74-O58</f>
        <v>0</v>
      </c>
      <c r="P75" s="457"/>
      <c r="Q75" s="457"/>
      <c r="R75" s="457"/>
      <c r="S75" s="457"/>
      <c r="T75" s="457"/>
      <c r="U75" s="457"/>
      <c r="V75" s="457"/>
      <c r="W75" s="457"/>
      <c r="X75" s="457"/>
      <c r="Y75" s="457"/>
      <c r="Z75" s="457"/>
      <c r="AA75" s="457"/>
      <c r="AB75" s="457"/>
      <c r="AC75" s="457"/>
      <c r="AD75" s="457"/>
      <c r="AE75" s="457"/>
      <c r="AF75" s="456">
        <f t="shared" ref="AF75" si="17">AF74-AF58</f>
        <v>0</v>
      </c>
      <c r="AG75" s="457"/>
      <c r="AH75" s="457"/>
      <c r="AI75" s="457"/>
      <c r="AJ75" s="457"/>
      <c r="AK75" s="457"/>
      <c r="AL75" s="457"/>
      <c r="AM75" s="457"/>
      <c r="AN75" s="457"/>
      <c r="AO75" s="457"/>
      <c r="AP75" s="457"/>
      <c r="AQ75" s="457"/>
      <c r="AR75" s="457"/>
      <c r="AS75" s="457"/>
      <c r="AT75" s="457"/>
      <c r="AU75" s="457"/>
      <c r="AV75" s="457"/>
      <c r="AW75" s="456">
        <f t="shared" ref="AW75" si="18">AW74-AW58</f>
        <v>0</v>
      </c>
      <c r="AX75" s="457"/>
      <c r="AY75" s="457"/>
      <c r="AZ75" s="457"/>
      <c r="BA75" s="457"/>
      <c r="BB75" s="457"/>
      <c r="BC75" s="457"/>
      <c r="BD75" s="457"/>
      <c r="BE75" s="457"/>
      <c r="BF75" s="457"/>
      <c r="BG75" s="457"/>
      <c r="BH75" s="457"/>
      <c r="BI75" s="457"/>
      <c r="BJ75" s="457"/>
      <c r="BK75" s="457"/>
      <c r="BL75" s="457"/>
      <c r="BM75" s="457"/>
      <c r="BN75" s="456"/>
      <c r="BO75" s="457"/>
      <c r="BP75" s="457"/>
      <c r="BQ75" s="457"/>
      <c r="BR75" s="457"/>
      <c r="BS75" s="457"/>
      <c r="BT75" s="457"/>
      <c r="BU75" s="457"/>
      <c r="BV75" s="457"/>
      <c r="BW75" s="457"/>
      <c r="BX75" s="457"/>
      <c r="BY75" s="457"/>
      <c r="BZ75" s="457"/>
      <c r="CA75" s="457"/>
      <c r="CB75" s="457"/>
      <c r="CC75" s="457"/>
      <c r="CD75" s="457"/>
      <c r="CE75" s="221"/>
      <c r="CF75" s="198"/>
      <c r="CG75" s="198"/>
      <c r="CH75" s="198"/>
      <c r="CI75" s="198"/>
      <c r="CJ75" s="198"/>
      <c r="CK75" s="198"/>
      <c r="CL75" s="198"/>
      <c r="CM75" s="198"/>
      <c r="CN75" s="198"/>
      <c r="CO75" s="198"/>
      <c r="CP75" s="198"/>
      <c r="CQ75" s="98"/>
    </row>
    <row r="76" spans="1:105" s="98" customFormat="1" ht="30" customHeight="1">
      <c r="A76" s="86" t="s">
        <v>230</v>
      </c>
      <c r="B76" s="93"/>
      <c r="C76" s="93"/>
      <c r="D76" s="85"/>
      <c r="E76" s="94"/>
      <c r="F76" s="166"/>
      <c r="G76" s="94"/>
      <c r="H76" s="94"/>
      <c r="I76" s="94"/>
      <c r="J76" s="94"/>
      <c r="K76" s="176"/>
      <c r="L76" s="97"/>
      <c r="M76" s="196"/>
      <c r="N76" s="221"/>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7"/>
      <c r="AY76" s="457"/>
      <c r="AZ76" s="457"/>
      <c r="BA76" s="457"/>
      <c r="BB76" s="457"/>
      <c r="BC76" s="457"/>
      <c r="BD76" s="457"/>
      <c r="BE76" s="457"/>
      <c r="BF76" s="457"/>
      <c r="BG76" s="457"/>
      <c r="BH76" s="457"/>
      <c r="BI76" s="457"/>
      <c r="BJ76" s="457"/>
      <c r="BK76" s="457"/>
      <c r="BL76" s="457"/>
      <c r="BM76" s="457"/>
      <c r="BN76" s="457"/>
      <c r="BO76" s="457"/>
      <c r="BP76" s="457"/>
      <c r="BQ76" s="457"/>
      <c r="BR76" s="457"/>
      <c r="BS76" s="457"/>
      <c r="BT76" s="457"/>
      <c r="BU76" s="457"/>
      <c r="BV76" s="457"/>
      <c r="BW76" s="457"/>
      <c r="BX76" s="457"/>
      <c r="BY76" s="457"/>
      <c r="BZ76" s="457"/>
      <c r="CA76" s="457"/>
      <c r="CB76" s="457"/>
      <c r="CC76" s="457"/>
      <c r="CD76" s="457"/>
      <c r="CE76" s="221"/>
      <c r="CF76" s="198"/>
      <c r="CG76" s="198"/>
      <c r="CH76" s="198"/>
      <c r="CI76" s="198"/>
      <c r="CJ76" s="198"/>
      <c r="CK76" s="198"/>
      <c r="CL76" s="198"/>
      <c r="CM76" s="198"/>
      <c r="CN76" s="198"/>
      <c r="CO76" s="198"/>
      <c r="CP76" s="198"/>
    </row>
    <row r="77" spans="1:105" s="123" customFormat="1" ht="30" customHeight="1">
      <c r="A77" s="505" t="s">
        <v>176</v>
      </c>
      <c r="B77" s="506" t="s">
        <v>222</v>
      </c>
      <c r="C77" s="506"/>
      <c r="D77" s="506"/>
      <c r="E77" s="507">
        <f>E78+E92+E99+E109</f>
        <v>10819178.459999999</v>
      </c>
      <c r="F77" s="507">
        <f>F78+F92+F99+F109</f>
        <v>6670764.5199999996</v>
      </c>
      <c r="G77" s="507">
        <f>G78+G92+G99+G109</f>
        <v>7906449.2300000004</v>
      </c>
      <c r="H77" s="507">
        <f>H78+H92+H99+H109</f>
        <v>8920341.2300000004</v>
      </c>
      <c r="I77" s="507">
        <f>I78+I92+I99+I109</f>
        <v>8920341.2300000004</v>
      </c>
      <c r="J77" s="507">
        <f>I77</f>
        <v>8920341.2300000004</v>
      </c>
      <c r="K77" s="507">
        <f>J77</f>
        <v>8920341.2300000004</v>
      </c>
      <c r="L77" s="122"/>
      <c r="M77" s="196"/>
      <c r="N77" s="221"/>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7"/>
      <c r="AY77" s="457"/>
      <c r="AZ77" s="457"/>
      <c r="BA77" s="457"/>
      <c r="BB77" s="457"/>
      <c r="BC77" s="457"/>
      <c r="BD77" s="457"/>
      <c r="BE77" s="457"/>
      <c r="BF77" s="457"/>
      <c r="BG77" s="457"/>
      <c r="BH77" s="457"/>
      <c r="BI77" s="457"/>
      <c r="BJ77" s="457"/>
      <c r="BK77" s="457"/>
      <c r="BL77" s="457"/>
      <c r="BM77" s="457"/>
      <c r="BN77" s="457"/>
      <c r="BO77" s="457"/>
      <c r="BP77" s="457"/>
      <c r="BQ77" s="457"/>
      <c r="BR77" s="457"/>
      <c r="BS77" s="457"/>
      <c r="BT77" s="457"/>
      <c r="BU77" s="457"/>
      <c r="BV77" s="457"/>
      <c r="BW77" s="457"/>
      <c r="BX77" s="457"/>
      <c r="BY77" s="457"/>
      <c r="BZ77" s="457"/>
      <c r="CA77" s="457"/>
      <c r="CB77" s="457"/>
      <c r="CC77" s="457"/>
      <c r="CD77" s="457"/>
      <c r="CE77" s="221"/>
      <c r="CF77" s="198"/>
      <c r="CG77" s="198"/>
      <c r="CH77" s="198"/>
      <c r="CI77" s="198"/>
      <c r="CJ77" s="198"/>
      <c r="CK77" s="198"/>
      <c r="CL77" s="198"/>
      <c r="CM77" s="198"/>
      <c r="CN77" s="198"/>
      <c r="CO77" s="198"/>
      <c r="CP77" s="198"/>
      <c r="CQ77" s="98"/>
    </row>
    <row r="78" spans="1:105" s="57" customFormat="1" ht="26.25" customHeight="1">
      <c r="A78" s="422" t="s">
        <v>99</v>
      </c>
      <c r="B78" s="423">
        <v>2100</v>
      </c>
      <c r="C78" s="423" t="s">
        <v>60</v>
      </c>
      <c r="D78" s="420"/>
      <c r="E78" s="412">
        <f>E80+E85+E88</f>
        <v>6456251.4500000002</v>
      </c>
      <c r="F78" s="413">
        <f t="shared" ref="F78:I78" si="19">F80+F85+F88</f>
        <v>2390845.46</v>
      </c>
      <c r="G78" s="412">
        <f t="shared" si="19"/>
        <v>1612636.5699999998</v>
      </c>
      <c r="H78" s="412">
        <f t="shared" si="19"/>
        <v>1795817.5799999998</v>
      </c>
      <c r="I78" s="412">
        <f t="shared" si="19"/>
        <v>1795817.5799999998</v>
      </c>
      <c r="J78" s="412">
        <f>I78</f>
        <v>1795817.5799999998</v>
      </c>
      <c r="K78" s="412" t="s">
        <v>60</v>
      </c>
      <c r="M78" s="196"/>
      <c r="N78" s="221"/>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457"/>
      <c r="AZ78" s="457"/>
      <c r="BA78" s="457"/>
      <c r="BB78" s="457"/>
      <c r="BC78" s="457"/>
      <c r="BD78" s="457"/>
      <c r="BE78" s="457"/>
      <c r="BF78" s="457"/>
      <c r="BG78" s="457"/>
      <c r="BH78" s="457"/>
      <c r="BI78" s="457"/>
      <c r="BJ78" s="457"/>
      <c r="BK78" s="457"/>
      <c r="BL78" s="457"/>
      <c r="BM78" s="457"/>
      <c r="BN78" s="457"/>
      <c r="BO78" s="457"/>
      <c r="BP78" s="457"/>
      <c r="BQ78" s="457"/>
      <c r="BR78" s="457"/>
      <c r="BS78" s="457"/>
      <c r="BT78" s="457"/>
      <c r="BU78" s="457"/>
      <c r="BV78" s="457"/>
      <c r="BW78" s="457"/>
      <c r="BX78" s="457"/>
      <c r="BY78" s="457"/>
      <c r="BZ78" s="457"/>
      <c r="CA78" s="457"/>
      <c r="CB78" s="457"/>
      <c r="CC78" s="457"/>
      <c r="CD78" s="457"/>
      <c r="CE78" s="222"/>
      <c r="CF78" s="198"/>
      <c r="CG78" s="198"/>
      <c r="CH78" s="198"/>
      <c r="CI78" s="198"/>
      <c r="CJ78" s="198"/>
      <c r="CK78" s="198"/>
      <c r="CL78" s="198"/>
      <c r="CM78" s="198"/>
      <c r="CN78" s="198"/>
      <c r="CO78" s="198"/>
      <c r="CP78" s="198"/>
      <c r="CQ78" s="98"/>
    </row>
    <row r="79" spans="1:105" s="57" customFormat="1" ht="25.5" customHeight="1">
      <c r="A79" s="422"/>
      <c r="B79" s="423"/>
      <c r="C79" s="423"/>
      <c r="D79" s="420"/>
      <c r="E79" s="412"/>
      <c r="F79" s="413"/>
      <c r="G79" s="412"/>
      <c r="H79" s="412"/>
      <c r="I79" s="412"/>
      <c r="J79" s="412"/>
      <c r="K79" s="412"/>
      <c r="M79" s="196"/>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c r="BZ79" s="221"/>
      <c r="CA79" s="221"/>
      <c r="CB79" s="221"/>
      <c r="CC79" s="221"/>
      <c r="CD79" s="221"/>
      <c r="CE79" s="222"/>
      <c r="CF79" s="198"/>
      <c r="CG79" s="198"/>
      <c r="CH79" s="198"/>
      <c r="CI79" s="198"/>
      <c r="CJ79" s="198"/>
      <c r="CK79" s="198"/>
      <c r="CL79" s="198"/>
      <c r="CM79" s="198"/>
      <c r="CN79" s="198"/>
      <c r="CO79" s="198"/>
      <c r="CP79" s="198"/>
      <c r="CQ79" s="98"/>
    </row>
    <row r="80" spans="1:105" s="57" customFormat="1" ht="18" customHeight="1">
      <c r="A80" s="422" t="s">
        <v>100</v>
      </c>
      <c r="B80" s="423">
        <v>2110</v>
      </c>
      <c r="C80" s="423">
        <v>111</v>
      </c>
      <c r="D80" s="420"/>
      <c r="E80" s="412">
        <f>SUM(E83:E84)</f>
        <v>5007016.45</v>
      </c>
      <c r="F80" s="413">
        <f>SUM(F83:F84)</f>
        <v>1854766.1</v>
      </c>
      <c r="G80" s="412">
        <f>SUM(G83:G84)</f>
        <v>1224021.94</v>
      </c>
      <c r="H80" s="412">
        <f>SUM(H83:H84)</f>
        <v>1379276.17</v>
      </c>
      <c r="I80" s="412">
        <f>SUM(I83:I84)</f>
        <v>1379276.17</v>
      </c>
      <c r="J80" s="412">
        <f>I80</f>
        <v>1379276.17</v>
      </c>
      <c r="K80" s="412" t="s">
        <v>60</v>
      </c>
      <c r="M80" s="196"/>
      <c r="N80" s="197"/>
      <c r="O80" s="197"/>
      <c r="P80" s="197"/>
      <c r="Q80" s="197"/>
      <c r="R80" s="464">
        <f>H83+H84+H91+H158+H162+H211+H212+H219+H234+H238</f>
        <v>64095683.633579999</v>
      </c>
      <c r="S80" s="465"/>
      <c r="T80" s="465"/>
      <c r="U80" s="465"/>
      <c r="V80" s="465"/>
      <c r="W80" s="465"/>
      <c r="X80" s="465"/>
      <c r="Y80" s="465"/>
      <c r="Z80" s="465"/>
      <c r="AA80" s="465"/>
      <c r="AB80" s="465"/>
      <c r="AC80" s="465"/>
      <c r="AD80" s="465"/>
      <c r="AE80" s="465"/>
      <c r="AF80" s="465"/>
      <c r="AG80" s="465"/>
      <c r="AH80" s="465"/>
      <c r="AI80" s="465"/>
      <c r="AJ80" s="465"/>
      <c r="AK80" s="465"/>
      <c r="AL80" s="465"/>
      <c r="AM80" s="466"/>
      <c r="AN80" s="464">
        <f>I83+I84+I91+I158+I162+I211+I212+I219+I234+I238</f>
        <v>68285975.131179988</v>
      </c>
      <c r="AO80" s="465"/>
      <c r="AP80" s="465"/>
      <c r="AQ80" s="465"/>
      <c r="AR80" s="465"/>
      <c r="AS80" s="465"/>
      <c r="AT80" s="465"/>
      <c r="AU80" s="465"/>
      <c r="AV80" s="465"/>
      <c r="AW80" s="465"/>
      <c r="AX80" s="465"/>
      <c r="AY80" s="465"/>
      <c r="AZ80" s="465"/>
      <c r="BA80" s="465"/>
      <c r="BB80" s="465"/>
      <c r="BC80" s="465"/>
      <c r="BD80" s="465"/>
      <c r="BE80" s="465"/>
      <c r="BF80" s="465"/>
      <c r="BG80" s="465"/>
      <c r="BH80" s="465"/>
      <c r="BI80" s="466"/>
      <c r="BJ80" s="464"/>
      <c r="BK80" s="465"/>
      <c r="BL80" s="465"/>
      <c r="BM80" s="465"/>
      <c r="BN80" s="465"/>
      <c r="BO80" s="465"/>
      <c r="BP80" s="465"/>
      <c r="BQ80" s="465"/>
      <c r="BR80" s="465"/>
      <c r="BS80" s="465"/>
      <c r="BT80" s="465"/>
      <c r="BU80" s="465"/>
      <c r="BV80" s="465"/>
      <c r="BW80" s="465"/>
      <c r="BX80" s="465"/>
      <c r="BY80" s="465"/>
      <c r="BZ80" s="465"/>
      <c r="CA80" s="465"/>
      <c r="CB80" s="465"/>
      <c r="CC80" s="465"/>
      <c r="CD80" s="465"/>
      <c r="CE80" s="466"/>
      <c r="CF80" s="464"/>
      <c r="CG80" s="465"/>
      <c r="CH80" s="465"/>
      <c r="CI80" s="465"/>
      <c r="CJ80" s="465"/>
      <c r="CK80" s="465"/>
      <c r="CL80" s="465"/>
      <c r="CM80" s="465"/>
      <c r="CN80" s="465"/>
      <c r="CO80" s="465"/>
      <c r="CP80" s="465"/>
      <c r="CQ80" s="465"/>
      <c r="CR80" s="465"/>
      <c r="CS80" s="465"/>
      <c r="CT80" s="465"/>
      <c r="CU80" s="465"/>
      <c r="CV80" s="465"/>
      <c r="CW80" s="465"/>
      <c r="CX80" s="465"/>
      <c r="CY80" s="465"/>
      <c r="CZ80" s="465"/>
      <c r="DA80" s="466"/>
    </row>
    <row r="81" spans="1:105" s="57" customFormat="1" ht="18" customHeight="1">
      <c r="A81" s="422"/>
      <c r="B81" s="423"/>
      <c r="C81" s="423"/>
      <c r="D81" s="420"/>
      <c r="E81" s="412"/>
      <c r="F81" s="413"/>
      <c r="G81" s="412"/>
      <c r="H81" s="412"/>
      <c r="I81" s="412"/>
      <c r="J81" s="412"/>
      <c r="K81" s="412"/>
      <c r="L81" s="111"/>
      <c r="M81" s="196"/>
      <c r="N81" s="197"/>
      <c r="O81" s="197"/>
      <c r="P81" s="197"/>
      <c r="Q81" s="197"/>
      <c r="R81" s="464"/>
      <c r="S81" s="465"/>
      <c r="T81" s="465"/>
      <c r="U81" s="465"/>
      <c r="V81" s="465"/>
      <c r="W81" s="465"/>
      <c r="X81" s="465"/>
      <c r="Y81" s="465"/>
      <c r="Z81" s="465"/>
      <c r="AA81" s="465"/>
      <c r="AB81" s="465"/>
      <c r="AC81" s="465"/>
      <c r="AD81" s="465"/>
      <c r="AE81" s="465"/>
      <c r="AF81" s="465"/>
      <c r="AG81" s="465"/>
      <c r="AH81" s="465"/>
      <c r="AI81" s="465"/>
      <c r="AJ81" s="465"/>
      <c r="AK81" s="465"/>
      <c r="AL81" s="465"/>
      <c r="AM81" s="466"/>
      <c r="AN81" s="464"/>
      <c r="AO81" s="465"/>
      <c r="AP81" s="465"/>
      <c r="AQ81" s="465"/>
      <c r="AR81" s="465"/>
      <c r="AS81" s="465"/>
      <c r="AT81" s="465"/>
      <c r="AU81" s="465"/>
      <c r="AV81" s="465"/>
      <c r="AW81" s="465"/>
      <c r="AX81" s="465"/>
      <c r="AY81" s="465"/>
      <c r="AZ81" s="465"/>
      <c r="BA81" s="465"/>
      <c r="BB81" s="465"/>
      <c r="BC81" s="465"/>
      <c r="BD81" s="465"/>
      <c r="BE81" s="465"/>
      <c r="BF81" s="465"/>
      <c r="BG81" s="465"/>
      <c r="BH81" s="465"/>
      <c r="BI81" s="466"/>
      <c r="BJ81" s="464"/>
      <c r="BK81" s="465"/>
      <c r="BL81" s="465"/>
      <c r="BM81" s="465"/>
      <c r="BN81" s="465"/>
      <c r="BO81" s="465"/>
      <c r="BP81" s="465"/>
      <c r="BQ81" s="465"/>
      <c r="BR81" s="465"/>
      <c r="BS81" s="465"/>
      <c r="BT81" s="465"/>
      <c r="BU81" s="465"/>
      <c r="BV81" s="465"/>
      <c r="BW81" s="465"/>
      <c r="BX81" s="465"/>
      <c r="BY81" s="465"/>
      <c r="BZ81" s="465"/>
      <c r="CA81" s="465"/>
      <c r="CB81" s="465"/>
      <c r="CC81" s="465"/>
      <c r="CD81" s="465"/>
      <c r="CE81" s="466"/>
      <c r="CF81" s="464"/>
      <c r="CG81" s="465"/>
      <c r="CH81" s="465"/>
      <c r="CI81" s="465"/>
      <c r="CJ81" s="465"/>
      <c r="CK81" s="465"/>
      <c r="CL81" s="465"/>
      <c r="CM81" s="465"/>
      <c r="CN81" s="465"/>
      <c r="CO81" s="465"/>
      <c r="CP81" s="465"/>
      <c r="CQ81" s="465"/>
      <c r="CR81" s="465"/>
      <c r="CS81" s="465"/>
      <c r="CT81" s="465"/>
      <c r="CU81" s="465"/>
      <c r="CV81" s="465"/>
      <c r="CW81" s="465"/>
      <c r="CX81" s="465"/>
      <c r="CY81" s="465"/>
      <c r="CZ81" s="465"/>
      <c r="DA81" s="466"/>
    </row>
    <row r="82" spans="1:105" s="103" customFormat="1" ht="18" customHeight="1">
      <c r="A82" s="130" t="s">
        <v>189</v>
      </c>
      <c r="B82" s="99"/>
      <c r="C82" s="100"/>
      <c r="D82" s="104"/>
      <c r="E82" s="101"/>
      <c r="F82" s="101"/>
      <c r="G82" s="102"/>
      <c r="H82" s="99"/>
      <c r="I82" s="99"/>
      <c r="J82" s="99"/>
      <c r="K82" s="99"/>
      <c r="L82" s="109"/>
      <c r="M82" s="196"/>
      <c r="N82" s="197"/>
      <c r="O82" s="197"/>
      <c r="P82" s="197"/>
      <c r="Q82" s="197"/>
      <c r="R82" s="464"/>
      <c r="S82" s="465"/>
      <c r="T82" s="465"/>
      <c r="U82" s="465"/>
      <c r="V82" s="465"/>
      <c r="W82" s="465"/>
      <c r="X82" s="465"/>
      <c r="Y82" s="465"/>
      <c r="Z82" s="465"/>
      <c r="AA82" s="465"/>
      <c r="AB82" s="465"/>
      <c r="AC82" s="465"/>
      <c r="AD82" s="465"/>
      <c r="AE82" s="465"/>
      <c r="AF82" s="465"/>
      <c r="AG82" s="465"/>
      <c r="AH82" s="465"/>
      <c r="AI82" s="465"/>
      <c r="AJ82" s="465"/>
      <c r="AK82" s="465"/>
      <c r="AL82" s="465"/>
      <c r="AM82" s="466"/>
      <c r="AN82" s="464"/>
      <c r="AO82" s="465"/>
      <c r="AP82" s="465"/>
      <c r="AQ82" s="465"/>
      <c r="AR82" s="465"/>
      <c r="AS82" s="465"/>
      <c r="AT82" s="465"/>
      <c r="AU82" s="465"/>
      <c r="AV82" s="465"/>
      <c r="AW82" s="465"/>
      <c r="AX82" s="465"/>
      <c r="AY82" s="465"/>
      <c r="AZ82" s="465"/>
      <c r="BA82" s="465"/>
      <c r="BB82" s="465"/>
      <c r="BC82" s="465"/>
      <c r="BD82" s="465"/>
      <c r="BE82" s="465"/>
      <c r="BF82" s="465"/>
      <c r="BG82" s="465"/>
      <c r="BH82" s="465"/>
      <c r="BI82" s="466"/>
      <c r="BJ82" s="464"/>
      <c r="BK82" s="465"/>
      <c r="BL82" s="465"/>
      <c r="BM82" s="465"/>
      <c r="BN82" s="465"/>
      <c r="BO82" s="465"/>
      <c r="BP82" s="465"/>
      <c r="BQ82" s="465"/>
      <c r="BR82" s="465"/>
      <c r="BS82" s="465"/>
      <c r="BT82" s="465"/>
      <c r="BU82" s="465"/>
      <c r="BV82" s="465"/>
      <c r="BW82" s="465"/>
      <c r="BX82" s="465"/>
      <c r="BY82" s="465"/>
      <c r="BZ82" s="465"/>
      <c r="CA82" s="465"/>
      <c r="CB82" s="465"/>
      <c r="CC82" s="465"/>
      <c r="CD82" s="465"/>
      <c r="CE82" s="466"/>
      <c r="CF82" s="464"/>
      <c r="CG82" s="465"/>
      <c r="CH82" s="465"/>
      <c r="CI82" s="465"/>
      <c r="CJ82" s="465"/>
      <c r="CK82" s="465"/>
      <c r="CL82" s="465"/>
      <c r="CM82" s="465"/>
      <c r="CN82" s="465"/>
      <c r="CO82" s="465"/>
      <c r="CP82" s="465"/>
      <c r="CQ82" s="465"/>
      <c r="CR82" s="465"/>
      <c r="CS82" s="465"/>
      <c r="CT82" s="465"/>
      <c r="CU82" s="465"/>
      <c r="CV82" s="465"/>
      <c r="CW82" s="465"/>
      <c r="CX82" s="465"/>
      <c r="CY82" s="465"/>
      <c r="CZ82" s="465"/>
      <c r="DA82" s="466"/>
    </row>
    <row r="83" spans="1:105" s="107" customFormat="1" ht="18" customHeight="1">
      <c r="A83" s="131" t="s">
        <v>190</v>
      </c>
      <c r="B83" s="104"/>
      <c r="C83" s="105" t="s">
        <v>177</v>
      </c>
      <c r="D83" s="104">
        <v>211</v>
      </c>
      <c r="E83" s="106">
        <v>4988872</v>
      </c>
      <c r="F83" s="114">
        <v>1824766.1</v>
      </c>
      <c r="G83" s="113">
        <v>1204021.94</v>
      </c>
      <c r="H83" s="114">
        <v>1379276.17</v>
      </c>
      <c r="I83" s="114">
        <v>1379276.17</v>
      </c>
      <c r="J83" s="114">
        <f t="shared" ref="J83:J89" si="20">I83</f>
        <v>1379276.17</v>
      </c>
      <c r="K83" s="104" t="s">
        <v>3</v>
      </c>
      <c r="L83" s="110"/>
      <c r="M83" s="196"/>
      <c r="N83" s="197"/>
      <c r="O83" s="197"/>
      <c r="P83" s="197"/>
      <c r="Q83" s="197"/>
      <c r="R83" s="464"/>
      <c r="S83" s="465"/>
      <c r="T83" s="465"/>
      <c r="U83" s="465"/>
      <c r="V83" s="465"/>
      <c r="W83" s="465"/>
      <c r="X83" s="465"/>
      <c r="Y83" s="465"/>
      <c r="Z83" s="465"/>
      <c r="AA83" s="465"/>
      <c r="AB83" s="465"/>
      <c r="AC83" s="465"/>
      <c r="AD83" s="465"/>
      <c r="AE83" s="465"/>
      <c r="AF83" s="465"/>
      <c r="AG83" s="465"/>
      <c r="AH83" s="465"/>
      <c r="AI83" s="465"/>
      <c r="AJ83" s="465"/>
      <c r="AK83" s="465"/>
      <c r="AL83" s="465"/>
      <c r="AM83" s="466"/>
      <c r="AN83" s="464"/>
      <c r="AO83" s="465"/>
      <c r="AP83" s="465"/>
      <c r="AQ83" s="465"/>
      <c r="AR83" s="465"/>
      <c r="AS83" s="465"/>
      <c r="AT83" s="465"/>
      <c r="AU83" s="465"/>
      <c r="AV83" s="465"/>
      <c r="AW83" s="465"/>
      <c r="AX83" s="465"/>
      <c r="AY83" s="465"/>
      <c r="AZ83" s="465"/>
      <c r="BA83" s="465"/>
      <c r="BB83" s="465"/>
      <c r="BC83" s="465"/>
      <c r="BD83" s="465"/>
      <c r="BE83" s="465"/>
      <c r="BF83" s="465"/>
      <c r="BG83" s="465"/>
      <c r="BH83" s="465"/>
      <c r="BI83" s="466"/>
      <c r="BJ83" s="464"/>
      <c r="BK83" s="465"/>
      <c r="BL83" s="465"/>
      <c r="BM83" s="465"/>
      <c r="BN83" s="465"/>
      <c r="BO83" s="465"/>
      <c r="BP83" s="465"/>
      <c r="BQ83" s="465"/>
      <c r="BR83" s="465"/>
      <c r="BS83" s="465"/>
      <c r="BT83" s="465"/>
      <c r="BU83" s="465"/>
      <c r="BV83" s="465"/>
      <c r="BW83" s="465"/>
      <c r="BX83" s="465"/>
      <c r="BY83" s="465"/>
      <c r="BZ83" s="465"/>
      <c r="CA83" s="465"/>
      <c r="CB83" s="465"/>
      <c r="CC83" s="465"/>
      <c r="CD83" s="465"/>
      <c r="CE83" s="466"/>
      <c r="CF83" s="464"/>
      <c r="CG83" s="465"/>
      <c r="CH83" s="465"/>
      <c r="CI83" s="465"/>
      <c r="CJ83" s="465"/>
      <c r="CK83" s="465"/>
      <c r="CL83" s="465"/>
      <c r="CM83" s="465"/>
      <c r="CN83" s="465"/>
      <c r="CO83" s="465"/>
      <c r="CP83" s="465"/>
      <c r="CQ83" s="465"/>
      <c r="CR83" s="465"/>
      <c r="CS83" s="465"/>
      <c r="CT83" s="465"/>
      <c r="CU83" s="465"/>
      <c r="CV83" s="465"/>
      <c r="CW83" s="465"/>
      <c r="CX83" s="465"/>
      <c r="CY83" s="465"/>
      <c r="CZ83" s="465"/>
      <c r="DA83" s="466"/>
    </row>
    <row r="84" spans="1:105" s="107" customFormat="1" ht="35.25" customHeight="1">
      <c r="A84" s="131" t="s">
        <v>192</v>
      </c>
      <c r="B84" s="104"/>
      <c r="C84" s="105" t="s">
        <v>177</v>
      </c>
      <c r="D84" s="104">
        <v>266</v>
      </c>
      <c r="E84" s="108">
        <v>18144.45</v>
      </c>
      <c r="F84" s="112">
        <v>30000</v>
      </c>
      <c r="G84" s="113">
        <v>20000</v>
      </c>
      <c r="H84" s="114">
        <v>0</v>
      </c>
      <c r="I84" s="114">
        <f t="shared" ref="I84" si="21">H84</f>
        <v>0</v>
      </c>
      <c r="J84" s="114">
        <f t="shared" si="20"/>
        <v>0</v>
      </c>
      <c r="K84" s="104" t="s">
        <v>3</v>
      </c>
      <c r="L84" s="110"/>
      <c r="M84" s="196"/>
      <c r="N84" s="197"/>
      <c r="O84" s="197"/>
      <c r="P84" s="197"/>
      <c r="Q84" s="197"/>
      <c r="R84" s="464"/>
      <c r="S84" s="465"/>
      <c r="T84" s="465"/>
      <c r="U84" s="465"/>
      <c r="V84" s="465"/>
      <c r="W84" s="465"/>
      <c r="X84" s="465"/>
      <c r="Y84" s="465"/>
      <c r="Z84" s="465"/>
      <c r="AA84" s="465"/>
      <c r="AB84" s="465"/>
      <c r="AC84" s="465"/>
      <c r="AD84" s="465"/>
      <c r="AE84" s="465"/>
      <c r="AF84" s="465"/>
      <c r="AG84" s="465"/>
      <c r="AH84" s="465"/>
      <c r="AI84" s="465"/>
      <c r="AJ84" s="465"/>
      <c r="AK84" s="465"/>
      <c r="AL84" s="465"/>
      <c r="AM84" s="466"/>
      <c r="AN84" s="464"/>
      <c r="AO84" s="465"/>
      <c r="AP84" s="465"/>
      <c r="AQ84" s="465"/>
      <c r="AR84" s="465"/>
      <c r="AS84" s="465"/>
      <c r="AT84" s="465"/>
      <c r="AU84" s="465"/>
      <c r="AV84" s="465"/>
      <c r="AW84" s="465"/>
      <c r="AX84" s="465"/>
      <c r="AY84" s="465"/>
      <c r="AZ84" s="465"/>
      <c r="BA84" s="465"/>
      <c r="BB84" s="465"/>
      <c r="BC84" s="465"/>
      <c r="BD84" s="465"/>
      <c r="BE84" s="465"/>
      <c r="BF84" s="465"/>
      <c r="BG84" s="465"/>
      <c r="BH84" s="465"/>
      <c r="BI84" s="466"/>
      <c r="BJ84" s="464"/>
      <c r="BK84" s="465"/>
      <c r="BL84" s="465"/>
      <c r="BM84" s="465"/>
      <c r="BN84" s="465"/>
      <c r="BO84" s="465"/>
      <c r="BP84" s="465"/>
      <c r="BQ84" s="465"/>
      <c r="BR84" s="465"/>
      <c r="BS84" s="465"/>
      <c r="BT84" s="465"/>
      <c r="BU84" s="465"/>
      <c r="BV84" s="465"/>
      <c r="BW84" s="465"/>
      <c r="BX84" s="465"/>
      <c r="BY84" s="465"/>
      <c r="BZ84" s="465"/>
      <c r="CA84" s="465"/>
      <c r="CB84" s="465"/>
      <c r="CC84" s="465"/>
      <c r="CD84" s="465"/>
      <c r="CE84" s="466"/>
      <c r="CF84" s="464"/>
      <c r="CG84" s="465"/>
      <c r="CH84" s="465"/>
      <c r="CI84" s="465"/>
      <c r="CJ84" s="465"/>
      <c r="CK84" s="465"/>
      <c r="CL84" s="465"/>
      <c r="CM84" s="465"/>
      <c r="CN84" s="465"/>
      <c r="CO84" s="465"/>
      <c r="CP84" s="465"/>
      <c r="CQ84" s="465"/>
      <c r="CR84" s="465"/>
      <c r="CS84" s="465"/>
      <c r="CT84" s="465"/>
      <c r="CU84" s="465"/>
      <c r="CV84" s="465"/>
      <c r="CW84" s="465"/>
      <c r="CX84" s="465"/>
      <c r="CY84" s="465"/>
      <c r="CZ84" s="465"/>
      <c r="DA84" s="466"/>
    </row>
    <row r="85" spans="1:105" s="57" customFormat="1" ht="50.25" customHeight="1">
      <c r="A85" s="80" t="s">
        <v>71</v>
      </c>
      <c r="B85" s="79">
        <v>2120</v>
      </c>
      <c r="C85" s="79">
        <v>112</v>
      </c>
      <c r="D85" s="76"/>
      <c r="E85" s="81">
        <f>SUM(E87)</f>
        <v>8143</v>
      </c>
      <c r="F85" s="166">
        <f t="shared" ref="F85:I85" si="22">SUM(F87)</f>
        <v>15000</v>
      </c>
      <c r="G85" s="81">
        <f>SUM(G87+G86)</f>
        <v>25000</v>
      </c>
      <c r="H85" s="81">
        <f t="shared" si="22"/>
        <v>0</v>
      </c>
      <c r="I85" s="81">
        <f t="shared" si="22"/>
        <v>0</v>
      </c>
      <c r="J85" s="81">
        <f t="shared" si="20"/>
        <v>0</v>
      </c>
      <c r="K85" s="172" t="s">
        <v>60</v>
      </c>
      <c r="L85" s="111"/>
      <c r="M85" s="196"/>
      <c r="N85" s="197"/>
      <c r="O85" s="197"/>
      <c r="P85" s="197"/>
      <c r="Q85" s="197"/>
      <c r="R85" s="464"/>
      <c r="S85" s="465"/>
      <c r="T85" s="465"/>
      <c r="U85" s="465"/>
      <c r="V85" s="465"/>
      <c r="W85" s="465"/>
      <c r="X85" s="465"/>
      <c r="Y85" s="465"/>
      <c r="Z85" s="465"/>
      <c r="AA85" s="465"/>
      <c r="AB85" s="465"/>
      <c r="AC85" s="465"/>
      <c r="AD85" s="465"/>
      <c r="AE85" s="465"/>
      <c r="AF85" s="465"/>
      <c r="AG85" s="465"/>
      <c r="AH85" s="465"/>
      <c r="AI85" s="465"/>
      <c r="AJ85" s="465"/>
      <c r="AK85" s="465"/>
      <c r="AL85" s="465"/>
      <c r="AM85" s="466"/>
      <c r="AN85" s="464"/>
      <c r="AO85" s="465"/>
      <c r="AP85" s="465"/>
      <c r="AQ85" s="465"/>
      <c r="AR85" s="465"/>
      <c r="AS85" s="465"/>
      <c r="AT85" s="465"/>
      <c r="AU85" s="465"/>
      <c r="AV85" s="465"/>
      <c r="AW85" s="465"/>
      <c r="AX85" s="465"/>
      <c r="AY85" s="465"/>
      <c r="AZ85" s="465"/>
      <c r="BA85" s="465"/>
      <c r="BB85" s="465"/>
      <c r="BC85" s="465"/>
      <c r="BD85" s="465"/>
      <c r="BE85" s="465"/>
      <c r="BF85" s="465"/>
      <c r="BG85" s="465"/>
      <c r="BH85" s="465"/>
      <c r="BI85" s="466"/>
      <c r="BJ85" s="464"/>
      <c r="BK85" s="465"/>
      <c r="BL85" s="465"/>
      <c r="BM85" s="465"/>
      <c r="BN85" s="465"/>
      <c r="BO85" s="465"/>
      <c r="BP85" s="465"/>
      <c r="BQ85" s="465"/>
      <c r="BR85" s="465"/>
      <c r="BS85" s="465"/>
      <c r="BT85" s="465"/>
      <c r="BU85" s="465"/>
      <c r="BV85" s="465"/>
      <c r="BW85" s="465"/>
      <c r="BX85" s="465"/>
      <c r="BY85" s="465"/>
      <c r="BZ85" s="465"/>
      <c r="CA85" s="465"/>
      <c r="CB85" s="465"/>
      <c r="CC85" s="465"/>
      <c r="CD85" s="465"/>
      <c r="CE85" s="466"/>
      <c r="CF85" s="464"/>
      <c r="CG85" s="465"/>
      <c r="CH85" s="465"/>
      <c r="CI85" s="465"/>
      <c r="CJ85" s="465"/>
      <c r="CK85" s="465"/>
      <c r="CL85" s="465"/>
      <c r="CM85" s="465"/>
      <c r="CN85" s="465"/>
      <c r="CO85" s="465"/>
      <c r="CP85" s="465"/>
      <c r="CQ85" s="465"/>
      <c r="CR85" s="465"/>
      <c r="CS85" s="465"/>
      <c r="CT85" s="465"/>
      <c r="CU85" s="465"/>
      <c r="CV85" s="465"/>
      <c r="CW85" s="465"/>
      <c r="CX85" s="465"/>
      <c r="CY85" s="465"/>
      <c r="CZ85" s="465"/>
      <c r="DA85" s="466"/>
    </row>
    <row r="86" spans="1:105" s="57" customFormat="1" ht="36" customHeight="1">
      <c r="A86" s="201" t="s">
        <v>207</v>
      </c>
      <c r="B86" s="203"/>
      <c r="C86" s="105" t="s">
        <v>177</v>
      </c>
      <c r="D86" s="200">
        <v>212</v>
      </c>
      <c r="E86" s="202"/>
      <c r="F86" s="204"/>
      <c r="G86" s="199">
        <v>0</v>
      </c>
      <c r="H86" s="199">
        <v>0</v>
      </c>
      <c r="I86" s="199">
        <v>0</v>
      </c>
      <c r="J86" s="199">
        <v>0</v>
      </c>
      <c r="K86" s="199" t="s">
        <v>3</v>
      </c>
      <c r="L86" s="111"/>
      <c r="M86" s="196"/>
      <c r="N86" s="197"/>
      <c r="O86" s="197"/>
      <c r="P86" s="197"/>
      <c r="Q86" s="197"/>
      <c r="R86" s="464"/>
      <c r="S86" s="465"/>
      <c r="T86" s="465"/>
      <c r="U86" s="465"/>
      <c r="V86" s="465"/>
      <c r="W86" s="465"/>
      <c r="X86" s="465"/>
      <c r="Y86" s="465"/>
      <c r="Z86" s="465"/>
      <c r="AA86" s="465"/>
      <c r="AB86" s="465"/>
      <c r="AC86" s="465"/>
      <c r="AD86" s="465"/>
      <c r="AE86" s="465"/>
      <c r="AF86" s="465"/>
      <c r="AG86" s="465"/>
      <c r="AH86" s="465"/>
      <c r="AI86" s="465"/>
      <c r="AJ86" s="465"/>
      <c r="AK86" s="465"/>
      <c r="AL86" s="465"/>
      <c r="AM86" s="466"/>
      <c r="AN86" s="464"/>
      <c r="AO86" s="465"/>
      <c r="AP86" s="465"/>
      <c r="AQ86" s="465"/>
      <c r="AR86" s="465"/>
      <c r="AS86" s="465"/>
      <c r="AT86" s="465"/>
      <c r="AU86" s="465"/>
      <c r="AV86" s="465"/>
      <c r="AW86" s="465"/>
      <c r="AX86" s="465"/>
      <c r="AY86" s="465"/>
      <c r="AZ86" s="465"/>
      <c r="BA86" s="465"/>
      <c r="BB86" s="465"/>
      <c r="BC86" s="465"/>
      <c r="BD86" s="465"/>
      <c r="BE86" s="465"/>
      <c r="BF86" s="465"/>
      <c r="BG86" s="465"/>
      <c r="BH86" s="465"/>
      <c r="BI86" s="466"/>
      <c r="BJ86" s="464"/>
      <c r="BK86" s="465"/>
      <c r="BL86" s="465"/>
      <c r="BM86" s="465"/>
      <c r="BN86" s="465"/>
      <c r="BO86" s="465"/>
      <c r="BP86" s="465"/>
      <c r="BQ86" s="465"/>
      <c r="BR86" s="465"/>
      <c r="BS86" s="465"/>
      <c r="BT86" s="465"/>
      <c r="BU86" s="465"/>
      <c r="BV86" s="465"/>
      <c r="BW86" s="465"/>
      <c r="BX86" s="465"/>
      <c r="BY86" s="465"/>
      <c r="BZ86" s="465"/>
      <c r="CA86" s="465"/>
      <c r="CB86" s="465"/>
      <c r="CC86" s="465"/>
      <c r="CD86" s="465"/>
      <c r="CE86" s="466"/>
      <c r="CF86" s="464"/>
      <c r="CG86" s="465"/>
      <c r="CH86" s="465"/>
      <c r="CI86" s="465"/>
      <c r="CJ86" s="465"/>
      <c r="CK86" s="465"/>
      <c r="CL86" s="465"/>
      <c r="CM86" s="465"/>
      <c r="CN86" s="465"/>
      <c r="CO86" s="465"/>
      <c r="CP86" s="465"/>
      <c r="CQ86" s="465"/>
      <c r="CR86" s="465"/>
      <c r="CS86" s="465"/>
      <c r="CT86" s="465"/>
      <c r="CU86" s="465"/>
      <c r="CV86" s="465"/>
      <c r="CW86" s="465"/>
      <c r="CX86" s="465"/>
      <c r="CY86" s="465"/>
      <c r="CZ86" s="465"/>
      <c r="DA86" s="466"/>
    </row>
    <row r="87" spans="1:105" s="107" customFormat="1" ht="36" customHeight="1">
      <c r="A87" s="131" t="s">
        <v>193</v>
      </c>
      <c r="B87" s="104"/>
      <c r="C87" s="105" t="s">
        <v>177</v>
      </c>
      <c r="D87" s="104">
        <v>226</v>
      </c>
      <c r="E87" s="112">
        <v>8143</v>
      </c>
      <c r="F87" s="112">
        <v>15000</v>
      </c>
      <c r="G87" s="113">
        <v>25000</v>
      </c>
      <c r="H87" s="114">
        <v>0</v>
      </c>
      <c r="I87" s="114">
        <v>0</v>
      </c>
      <c r="J87" s="114">
        <f t="shared" si="20"/>
        <v>0</v>
      </c>
      <c r="K87" s="104" t="s">
        <v>3</v>
      </c>
      <c r="L87" s="110"/>
      <c r="M87" s="196"/>
      <c r="N87" s="197"/>
      <c r="O87" s="197"/>
      <c r="P87" s="197"/>
      <c r="Q87" s="197"/>
      <c r="R87" s="464"/>
      <c r="S87" s="465"/>
      <c r="T87" s="465"/>
      <c r="U87" s="465"/>
      <c r="V87" s="465"/>
      <c r="W87" s="465"/>
      <c r="X87" s="465"/>
      <c r="Y87" s="465"/>
      <c r="Z87" s="465"/>
      <c r="AA87" s="465"/>
      <c r="AB87" s="465"/>
      <c r="AC87" s="465"/>
      <c r="AD87" s="465"/>
      <c r="AE87" s="465"/>
      <c r="AF87" s="465"/>
      <c r="AG87" s="465"/>
      <c r="AH87" s="465"/>
      <c r="AI87" s="465"/>
      <c r="AJ87" s="465"/>
      <c r="AK87" s="465"/>
      <c r="AL87" s="465"/>
      <c r="AM87" s="466"/>
      <c r="AN87" s="464"/>
      <c r="AO87" s="465"/>
      <c r="AP87" s="465"/>
      <c r="AQ87" s="465"/>
      <c r="AR87" s="465"/>
      <c r="AS87" s="465"/>
      <c r="AT87" s="465"/>
      <c r="AU87" s="465"/>
      <c r="AV87" s="465"/>
      <c r="AW87" s="465"/>
      <c r="AX87" s="465"/>
      <c r="AY87" s="465"/>
      <c r="AZ87" s="465"/>
      <c r="BA87" s="465"/>
      <c r="BB87" s="465"/>
      <c r="BC87" s="465"/>
      <c r="BD87" s="465"/>
      <c r="BE87" s="465"/>
      <c r="BF87" s="465"/>
      <c r="BG87" s="465"/>
      <c r="BH87" s="465"/>
      <c r="BI87" s="466"/>
      <c r="BJ87" s="464"/>
      <c r="BK87" s="465"/>
      <c r="BL87" s="465"/>
      <c r="BM87" s="465"/>
      <c r="BN87" s="465"/>
      <c r="BO87" s="465"/>
      <c r="BP87" s="465"/>
      <c r="BQ87" s="465"/>
      <c r="BR87" s="465"/>
      <c r="BS87" s="465"/>
      <c r="BT87" s="465"/>
      <c r="BU87" s="465"/>
      <c r="BV87" s="465"/>
      <c r="BW87" s="465"/>
      <c r="BX87" s="465"/>
      <c r="BY87" s="465"/>
      <c r="BZ87" s="465"/>
      <c r="CA87" s="465"/>
      <c r="CB87" s="465"/>
      <c r="CC87" s="465"/>
      <c r="CD87" s="465"/>
      <c r="CE87" s="466"/>
      <c r="CF87" s="464"/>
      <c r="CG87" s="465"/>
      <c r="CH87" s="465"/>
      <c r="CI87" s="465"/>
      <c r="CJ87" s="465"/>
      <c r="CK87" s="465"/>
      <c r="CL87" s="465"/>
      <c r="CM87" s="465"/>
      <c r="CN87" s="465"/>
      <c r="CO87" s="465"/>
      <c r="CP87" s="465"/>
      <c r="CQ87" s="465"/>
      <c r="CR87" s="465"/>
      <c r="CS87" s="465"/>
      <c r="CT87" s="465"/>
      <c r="CU87" s="465"/>
      <c r="CV87" s="465"/>
      <c r="CW87" s="465"/>
      <c r="CX87" s="465"/>
      <c r="CY87" s="465"/>
      <c r="CZ87" s="465"/>
      <c r="DA87" s="466"/>
    </row>
    <row r="88" spans="1:105" s="57" customFormat="1" ht="87.75" customHeight="1">
      <c r="A88" s="80" t="s">
        <v>72</v>
      </c>
      <c r="B88" s="79">
        <v>2140</v>
      </c>
      <c r="C88" s="79">
        <v>119</v>
      </c>
      <c r="D88" s="76"/>
      <c r="E88" s="81">
        <f>E89</f>
        <v>1441092</v>
      </c>
      <c r="F88" s="166">
        <f t="shared" ref="F88:I88" si="23">F89</f>
        <v>521079.36</v>
      </c>
      <c r="G88" s="81">
        <f t="shared" si="23"/>
        <v>363614.63</v>
      </c>
      <c r="H88" s="81">
        <f t="shared" si="23"/>
        <v>416541.41</v>
      </c>
      <c r="I88" s="81">
        <f t="shared" si="23"/>
        <v>416541.41</v>
      </c>
      <c r="J88" s="81">
        <f t="shared" si="20"/>
        <v>416541.41</v>
      </c>
      <c r="K88" s="199"/>
      <c r="M88" s="196"/>
      <c r="N88" s="197"/>
      <c r="O88" s="197"/>
      <c r="P88" s="197"/>
      <c r="Q88" s="197"/>
      <c r="R88" s="464"/>
      <c r="S88" s="465"/>
      <c r="T88" s="465"/>
      <c r="U88" s="465"/>
      <c r="V88" s="465"/>
      <c r="W88" s="465"/>
      <c r="X88" s="465"/>
      <c r="Y88" s="465"/>
      <c r="Z88" s="465"/>
      <c r="AA88" s="465"/>
      <c r="AB88" s="465"/>
      <c r="AC88" s="465"/>
      <c r="AD88" s="465"/>
      <c r="AE88" s="465"/>
      <c r="AF88" s="465"/>
      <c r="AG88" s="465"/>
      <c r="AH88" s="465"/>
      <c r="AI88" s="465"/>
      <c r="AJ88" s="465"/>
      <c r="AK88" s="465"/>
      <c r="AL88" s="465"/>
      <c r="AM88" s="466"/>
      <c r="AN88" s="464"/>
      <c r="AO88" s="465"/>
      <c r="AP88" s="465"/>
      <c r="AQ88" s="465"/>
      <c r="AR88" s="465"/>
      <c r="AS88" s="465"/>
      <c r="AT88" s="465"/>
      <c r="AU88" s="465"/>
      <c r="AV88" s="465"/>
      <c r="AW88" s="465"/>
      <c r="AX88" s="465"/>
      <c r="AY88" s="465"/>
      <c r="AZ88" s="465"/>
      <c r="BA88" s="465"/>
      <c r="BB88" s="465"/>
      <c r="BC88" s="465"/>
      <c r="BD88" s="465"/>
      <c r="BE88" s="465"/>
      <c r="BF88" s="465"/>
      <c r="BG88" s="465"/>
      <c r="BH88" s="465"/>
      <c r="BI88" s="466"/>
      <c r="BJ88" s="464"/>
      <c r="BK88" s="465"/>
      <c r="BL88" s="465"/>
      <c r="BM88" s="465"/>
      <c r="BN88" s="465"/>
      <c r="BO88" s="465"/>
      <c r="BP88" s="465"/>
      <c r="BQ88" s="465"/>
      <c r="BR88" s="465"/>
      <c r="BS88" s="465"/>
      <c r="BT88" s="465"/>
      <c r="BU88" s="465"/>
      <c r="BV88" s="465"/>
      <c r="BW88" s="465"/>
      <c r="BX88" s="465"/>
      <c r="BY88" s="465"/>
      <c r="BZ88" s="465"/>
      <c r="CA88" s="465"/>
      <c r="CB88" s="465"/>
      <c r="CC88" s="465"/>
      <c r="CD88" s="465"/>
      <c r="CE88" s="466"/>
      <c r="CF88" s="464"/>
      <c r="CG88" s="465"/>
      <c r="CH88" s="465"/>
      <c r="CI88" s="465"/>
      <c r="CJ88" s="465"/>
      <c r="CK88" s="465"/>
      <c r="CL88" s="465"/>
      <c r="CM88" s="465"/>
      <c r="CN88" s="465"/>
      <c r="CO88" s="465"/>
      <c r="CP88" s="465"/>
      <c r="CQ88" s="465"/>
      <c r="CR88" s="465"/>
      <c r="CS88" s="465"/>
      <c r="CT88" s="465"/>
      <c r="CU88" s="465"/>
      <c r="CV88" s="465"/>
      <c r="CW88" s="465"/>
      <c r="CX88" s="465"/>
      <c r="CY88" s="465"/>
      <c r="CZ88" s="465"/>
      <c r="DA88" s="466"/>
    </row>
    <row r="89" spans="1:105" s="67" customFormat="1" ht="30" customHeight="1">
      <c r="A89" s="416" t="s">
        <v>101</v>
      </c>
      <c r="B89" s="420">
        <v>2141</v>
      </c>
      <c r="C89" s="420">
        <v>119</v>
      </c>
      <c r="D89" s="420"/>
      <c r="E89" s="414">
        <f>E91</f>
        <v>1441092</v>
      </c>
      <c r="F89" s="421">
        <f t="shared" ref="F89:I89" si="24">F91</f>
        <v>521079.36</v>
      </c>
      <c r="G89" s="414">
        <f t="shared" si="24"/>
        <v>363614.63</v>
      </c>
      <c r="H89" s="414">
        <f t="shared" si="24"/>
        <v>416541.41</v>
      </c>
      <c r="I89" s="414">
        <f t="shared" si="24"/>
        <v>416541.41</v>
      </c>
      <c r="J89" s="414">
        <f t="shared" si="20"/>
        <v>416541.41</v>
      </c>
      <c r="K89" s="414" t="s">
        <v>60</v>
      </c>
      <c r="M89" s="196"/>
      <c r="N89" s="197"/>
      <c r="O89" s="197"/>
      <c r="P89" s="197"/>
      <c r="Q89" s="197"/>
      <c r="R89" s="464"/>
      <c r="S89" s="465"/>
      <c r="T89" s="465"/>
      <c r="U89" s="465"/>
      <c r="V89" s="465"/>
      <c r="W89" s="465"/>
      <c r="X89" s="465"/>
      <c r="Y89" s="465"/>
      <c r="Z89" s="465"/>
      <c r="AA89" s="465"/>
      <c r="AB89" s="465"/>
      <c r="AC89" s="465"/>
      <c r="AD89" s="465"/>
      <c r="AE89" s="465"/>
      <c r="AF89" s="465"/>
      <c r="AG89" s="465"/>
      <c r="AH89" s="465"/>
      <c r="AI89" s="465"/>
      <c r="AJ89" s="465"/>
      <c r="AK89" s="465"/>
      <c r="AL89" s="465"/>
      <c r="AM89" s="466"/>
      <c r="AN89" s="464"/>
      <c r="AO89" s="465"/>
      <c r="AP89" s="465"/>
      <c r="AQ89" s="465"/>
      <c r="AR89" s="465"/>
      <c r="AS89" s="465"/>
      <c r="AT89" s="465"/>
      <c r="AU89" s="465"/>
      <c r="AV89" s="465"/>
      <c r="AW89" s="465"/>
      <c r="AX89" s="465"/>
      <c r="AY89" s="465"/>
      <c r="AZ89" s="465"/>
      <c r="BA89" s="465"/>
      <c r="BB89" s="465"/>
      <c r="BC89" s="465"/>
      <c r="BD89" s="465"/>
      <c r="BE89" s="465"/>
      <c r="BF89" s="465"/>
      <c r="BG89" s="465"/>
      <c r="BH89" s="465"/>
      <c r="BI89" s="466"/>
      <c r="BJ89" s="464"/>
      <c r="BK89" s="465"/>
      <c r="BL89" s="465"/>
      <c r="BM89" s="465"/>
      <c r="BN89" s="465"/>
      <c r="BO89" s="465"/>
      <c r="BP89" s="465"/>
      <c r="BQ89" s="465"/>
      <c r="BR89" s="465"/>
      <c r="BS89" s="465"/>
      <c r="BT89" s="465"/>
      <c r="BU89" s="465"/>
      <c r="BV89" s="465"/>
      <c r="BW89" s="465"/>
      <c r="BX89" s="465"/>
      <c r="BY89" s="465"/>
      <c r="BZ89" s="465"/>
      <c r="CA89" s="465"/>
      <c r="CB89" s="465"/>
      <c r="CC89" s="465"/>
      <c r="CD89" s="465"/>
      <c r="CE89" s="466"/>
      <c r="CF89" s="464"/>
      <c r="CG89" s="465"/>
      <c r="CH89" s="465"/>
      <c r="CI89" s="465"/>
      <c r="CJ89" s="465"/>
      <c r="CK89" s="465"/>
      <c r="CL89" s="465"/>
      <c r="CM89" s="465"/>
      <c r="CN89" s="465"/>
      <c r="CO89" s="465"/>
      <c r="CP89" s="465"/>
      <c r="CQ89" s="465"/>
      <c r="CR89" s="465"/>
      <c r="CS89" s="465"/>
      <c r="CT89" s="465"/>
      <c r="CU89" s="465"/>
      <c r="CV89" s="465"/>
      <c r="CW89" s="465"/>
      <c r="CX89" s="465"/>
      <c r="CY89" s="465"/>
      <c r="CZ89" s="465"/>
      <c r="DA89" s="466"/>
    </row>
    <row r="90" spans="1:105" s="67" customFormat="1" ht="15.75" customHeight="1">
      <c r="A90" s="416"/>
      <c r="B90" s="420"/>
      <c r="C90" s="420"/>
      <c r="D90" s="420"/>
      <c r="E90" s="414"/>
      <c r="F90" s="421"/>
      <c r="G90" s="414"/>
      <c r="H90" s="414"/>
      <c r="I90" s="414"/>
      <c r="J90" s="414"/>
      <c r="K90" s="414"/>
      <c r="M90" s="196"/>
      <c r="N90" s="197"/>
      <c r="O90" s="197"/>
      <c r="P90" s="197"/>
      <c r="Q90" s="197"/>
      <c r="R90" s="464"/>
      <c r="S90" s="465"/>
      <c r="T90" s="465"/>
      <c r="U90" s="465"/>
      <c r="V90" s="465"/>
      <c r="W90" s="465"/>
      <c r="X90" s="465"/>
      <c r="Y90" s="465"/>
      <c r="Z90" s="465"/>
      <c r="AA90" s="465"/>
      <c r="AB90" s="465"/>
      <c r="AC90" s="465"/>
      <c r="AD90" s="465"/>
      <c r="AE90" s="465"/>
      <c r="AF90" s="465"/>
      <c r="AG90" s="465"/>
      <c r="AH90" s="465"/>
      <c r="AI90" s="465"/>
      <c r="AJ90" s="465"/>
      <c r="AK90" s="465"/>
      <c r="AL90" s="465"/>
      <c r="AM90" s="466"/>
      <c r="AN90" s="464"/>
      <c r="AO90" s="465"/>
      <c r="AP90" s="465"/>
      <c r="AQ90" s="465"/>
      <c r="AR90" s="465"/>
      <c r="AS90" s="465"/>
      <c r="AT90" s="465"/>
      <c r="AU90" s="465"/>
      <c r="AV90" s="465"/>
      <c r="AW90" s="465"/>
      <c r="AX90" s="465"/>
      <c r="AY90" s="465"/>
      <c r="AZ90" s="465"/>
      <c r="BA90" s="465"/>
      <c r="BB90" s="465"/>
      <c r="BC90" s="465"/>
      <c r="BD90" s="465"/>
      <c r="BE90" s="465"/>
      <c r="BF90" s="465"/>
      <c r="BG90" s="465"/>
      <c r="BH90" s="465"/>
      <c r="BI90" s="466"/>
      <c r="BJ90" s="464"/>
      <c r="BK90" s="465"/>
      <c r="BL90" s="465"/>
      <c r="BM90" s="465"/>
      <c r="BN90" s="465"/>
      <c r="BO90" s="465"/>
      <c r="BP90" s="465"/>
      <c r="BQ90" s="465"/>
      <c r="BR90" s="465"/>
      <c r="BS90" s="465"/>
      <c r="BT90" s="465"/>
      <c r="BU90" s="465"/>
      <c r="BV90" s="465"/>
      <c r="BW90" s="465"/>
      <c r="BX90" s="465"/>
      <c r="BY90" s="465"/>
      <c r="BZ90" s="465"/>
      <c r="CA90" s="465"/>
      <c r="CB90" s="465"/>
      <c r="CC90" s="465"/>
      <c r="CD90" s="465"/>
      <c r="CE90" s="466"/>
      <c r="CF90" s="464"/>
      <c r="CG90" s="465"/>
      <c r="CH90" s="465"/>
      <c r="CI90" s="465"/>
      <c r="CJ90" s="465"/>
      <c r="CK90" s="465"/>
      <c r="CL90" s="465"/>
      <c r="CM90" s="465"/>
      <c r="CN90" s="465"/>
      <c r="CO90" s="465"/>
      <c r="CP90" s="465"/>
      <c r="CQ90" s="465"/>
      <c r="CR90" s="465"/>
      <c r="CS90" s="465"/>
      <c r="CT90" s="465"/>
      <c r="CU90" s="465"/>
      <c r="CV90" s="465"/>
      <c r="CW90" s="465"/>
      <c r="CX90" s="465"/>
      <c r="CY90" s="465"/>
      <c r="CZ90" s="465"/>
      <c r="DA90" s="466"/>
    </row>
    <row r="91" spans="1:105" s="107" customFormat="1" ht="18" customHeight="1">
      <c r="A91" s="131" t="s">
        <v>191</v>
      </c>
      <c r="B91" s="104"/>
      <c r="C91" s="105" t="s">
        <v>177</v>
      </c>
      <c r="D91" s="104">
        <v>213</v>
      </c>
      <c r="E91" s="106">
        <v>1441092</v>
      </c>
      <c r="F91" s="114">
        <v>521079.36</v>
      </c>
      <c r="G91" s="113">
        <v>363614.63</v>
      </c>
      <c r="H91" s="114">
        <v>416541.41</v>
      </c>
      <c r="I91" s="114">
        <v>416541.41</v>
      </c>
      <c r="J91" s="114">
        <f>I91</f>
        <v>416541.41</v>
      </c>
      <c r="K91" s="104" t="s">
        <v>3</v>
      </c>
      <c r="L91" s="110"/>
      <c r="M91" s="196"/>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98"/>
    </row>
    <row r="92" spans="1:105" s="57" customFormat="1" ht="32.25" customHeight="1">
      <c r="A92" s="80" t="s">
        <v>73</v>
      </c>
      <c r="B92" s="79">
        <v>2200</v>
      </c>
      <c r="C92" s="79">
        <v>300</v>
      </c>
      <c r="D92" s="76"/>
      <c r="E92" s="81">
        <f>SUM(E94:E95)</f>
        <v>0</v>
      </c>
      <c r="F92" s="166">
        <f>SUM(F94:F95)</f>
        <v>0</v>
      </c>
      <c r="G92" s="81">
        <f>SUM(G94:G95)</f>
        <v>0</v>
      </c>
      <c r="H92" s="81">
        <f>SUM(H94:H95)</f>
        <v>0</v>
      </c>
      <c r="I92" s="81">
        <f>SUM(I94:I95)</f>
        <v>0</v>
      </c>
      <c r="J92" s="81">
        <v>0</v>
      </c>
      <c r="K92" s="172" t="s">
        <v>60</v>
      </c>
      <c r="M92" s="196"/>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98"/>
    </row>
    <row r="93" spans="1:105" s="67" customFormat="1" ht="30" customHeight="1">
      <c r="A93" s="31" t="s">
        <v>102</v>
      </c>
      <c r="B93" s="76"/>
      <c r="C93" s="76"/>
      <c r="D93" s="76"/>
      <c r="E93" s="82"/>
      <c r="F93" s="163"/>
      <c r="G93" s="82"/>
      <c r="H93" s="82"/>
      <c r="I93" s="82"/>
      <c r="J93" s="82"/>
      <c r="K93" s="173"/>
      <c r="M93" s="196"/>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98"/>
    </row>
    <row r="94" spans="1:105" s="57" customFormat="1" ht="22.5" customHeight="1">
      <c r="A94" s="422" t="s">
        <v>103</v>
      </c>
      <c r="B94" s="423">
        <v>2210</v>
      </c>
      <c r="C94" s="423">
        <v>320</v>
      </c>
      <c r="D94" s="423"/>
      <c r="E94" s="412">
        <f>E96</f>
        <v>0</v>
      </c>
      <c r="F94" s="413">
        <f t="shared" ref="F94:I94" si="25">F96</f>
        <v>0</v>
      </c>
      <c r="G94" s="412">
        <f t="shared" si="25"/>
        <v>0</v>
      </c>
      <c r="H94" s="412">
        <f t="shared" si="25"/>
        <v>0</v>
      </c>
      <c r="I94" s="412">
        <f t="shared" si="25"/>
        <v>0</v>
      </c>
      <c r="J94" s="412">
        <v>0</v>
      </c>
      <c r="K94" s="412" t="s">
        <v>60</v>
      </c>
      <c r="M94" s="196"/>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98"/>
    </row>
    <row r="95" spans="1:105" s="57" customFormat="1" ht="35.25" customHeight="1">
      <c r="A95" s="422"/>
      <c r="B95" s="423"/>
      <c r="C95" s="423"/>
      <c r="D95" s="423"/>
      <c r="E95" s="412"/>
      <c r="F95" s="413"/>
      <c r="G95" s="412"/>
      <c r="H95" s="412"/>
      <c r="I95" s="412"/>
      <c r="J95" s="412"/>
      <c r="K95" s="412"/>
      <c r="M95" s="196"/>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98"/>
    </row>
    <row r="96" spans="1:105" s="67" customFormat="1" ht="30" customHeight="1">
      <c r="A96" s="416" t="s">
        <v>104</v>
      </c>
      <c r="B96" s="420">
        <v>2211</v>
      </c>
      <c r="C96" s="420">
        <v>321</v>
      </c>
      <c r="D96" s="420"/>
      <c r="E96" s="414">
        <f>E98</f>
        <v>0</v>
      </c>
      <c r="F96" s="421">
        <f t="shared" ref="F96:I96" si="26">F98</f>
        <v>0</v>
      </c>
      <c r="G96" s="414">
        <f t="shared" si="26"/>
        <v>0</v>
      </c>
      <c r="H96" s="414">
        <f t="shared" si="26"/>
        <v>0</v>
      </c>
      <c r="I96" s="414">
        <f t="shared" si="26"/>
        <v>0</v>
      </c>
      <c r="J96" s="414">
        <v>0</v>
      </c>
      <c r="K96" s="414" t="s">
        <v>60</v>
      </c>
      <c r="M96" s="196"/>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98"/>
    </row>
    <row r="97" spans="1:95" s="67" customFormat="1" ht="36" customHeight="1">
      <c r="A97" s="416"/>
      <c r="B97" s="420"/>
      <c r="C97" s="420"/>
      <c r="D97" s="420"/>
      <c r="E97" s="414"/>
      <c r="F97" s="421"/>
      <c r="G97" s="414"/>
      <c r="H97" s="414"/>
      <c r="I97" s="414"/>
      <c r="J97" s="414"/>
      <c r="K97" s="414"/>
      <c r="M97" s="196"/>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98"/>
    </row>
    <row r="98" spans="1:95" s="57" customFormat="1" ht="66.75" customHeight="1">
      <c r="A98" s="69" t="s">
        <v>194</v>
      </c>
      <c r="B98" s="79"/>
      <c r="C98" s="105" t="s">
        <v>177</v>
      </c>
      <c r="D98" s="76">
        <v>265</v>
      </c>
      <c r="E98" s="82">
        <v>0</v>
      </c>
      <c r="F98" s="163">
        <v>0</v>
      </c>
      <c r="G98" s="82">
        <v>0</v>
      </c>
      <c r="H98" s="82">
        <v>0</v>
      </c>
      <c r="I98" s="82">
        <v>0</v>
      </c>
      <c r="J98" s="82">
        <v>0</v>
      </c>
      <c r="K98" s="173" t="s">
        <v>3</v>
      </c>
      <c r="L98" s="111"/>
      <c r="M98" s="196"/>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98"/>
    </row>
    <row r="99" spans="1:95" s="57" customFormat="1" ht="38.25" customHeight="1">
      <c r="A99" s="80" t="s">
        <v>74</v>
      </c>
      <c r="B99" s="79">
        <v>2300</v>
      </c>
      <c r="C99" s="79">
        <v>850</v>
      </c>
      <c r="D99" s="76"/>
      <c r="E99" s="81">
        <f>E101+E104+E106</f>
        <v>1853280.3199999998</v>
      </c>
      <c r="F99" s="166">
        <f t="shared" ref="F99:I99" si="27">F101+F104+F106</f>
        <v>1821708.3800000001</v>
      </c>
      <c r="G99" s="81">
        <f t="shared" si="27"/>
        <v>1667409</v>
      </c>
      <c r="H99" s="81">
        <f t="shared" si="27"/>
        <v>1764979</v>
      </c>
      <c r="I99" s="81">
        <f t="shared" si="27"/>
        <v>1764979</v>
      </c>
      <c r="J99" s="81">
        <f>I99</f>
        <v>1764979</v>
      </c>
      <c r="K99" s="172" t="s">
        <v>60</v>
      </c>
      <c r="M99" s="196"/>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98"/>
    </row>
    <row r="100" spans="1:95" s="67" customFormat="1" ht="30" customHeight="1">
      <c r="A100" s="149" t="s">
        <v>230</v>
      </c>
      <c r="B100" s="76"/>
      <c r="C100" s="76"/>
      <c r="D100" s="76"/>
      <c r="E100" s="82"/>
      <c r="F100" s="163"/>
      <c r="G100" s="82"/>
      <c r="H100" s="82"/>
      <c r="I100" s="82"/>
      <c r="J100" s="82"/>
      <c r="K100" s="173"/>
      <c r="M100" s="196"/>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98"/>
    </row>
    <row r="101" spans="1:95" s="57" customFormat="1" ht="23.25" customHeight="1">
      <c r="A101" s="422" t="s">
        <v>105</v>
      </c>
      <c r="B101" s="423">
        <v>2310</v>
      </c>
      <c r="C101" s="423">
        <v>851</v>
      </c>
      <c r="D101" s="423"/>
      <c r="E101" s="412">
        <f>E103</f>
        <v>1847936.17</v>
      </c>
      <c r="F101" s="413">
        <f t="shared" ref="F101:I101" si="28">F103</f>
        <v>1816045.28</v>
      </c>
      <c r="G101" s="412">
        <f t="shared" si="28"/>
        <v>1664909</v>
      </c>
      <c r="H101" s="412">
        <f t="shared" si="28"/>
        <v>1764979</v>
      </c>
      <c r="I101" s="412">
        <f t="shared" si="28"/>
        <v>1764979</v>
      </c>
      <c r="J101" s="412">
        <f>I101</f>
        <v>1764979</v>
      </c>
      <c r="K101" s="412" t="s">
        <v>60</v>
      </c>
      <c r="M101" s="196"/>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98"/>
    </row>
    <row r="102" spans="1:95" s="57" customFormat="1" ht="18" customHeight="1">
      <c r="A102" s="422"/>
      <c r="B102" s="423"/>
      <c r="C102" s="423"/>
      <c r="D102" s="423"/>
      <c r="E102" s="412"/>
      <c r="F102" s="413"/>
      <c r="G102" s="412"/>
      <c r="H102" s="412"/>
      <c r="I102" s="412"/>
      <c r="J102" s="412"/>
      <c r="K102" s="412"/>
      <c r="M102" s="196"/>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98"/>
    </row>
    <row r="103" spans="1:95" s="57" customFormat="1" ht="25.5" customHeight="1">
      <c r="A103" s="130" t="s">
        <v>195</v>
      </c>
      <c r="B103" s="79"/>
      <c r="C103" s="105" t="s">
        <v>177</v>
      </c>
      <c r="D103" s="76">
        <v>291</v>
      </c>
      <c r="E103" s="82">
        <v>1847936.17</v>
      </c>
      <c r="F103" s="163">
        <v>1816045.28</v>
      </c>
      <c r="G103" s="82">
        <v>1664909</v>
      </c>
      <c r="H103" s="82">
        <v>1764979</v>
      </c>
      <c r="I103" s="82">
        <v>1764979</v>
      </c>
      <c r="J103" s="82">
        <f>I103</f>
        <v>1764979</v>
      </c>
      <c r="K103" s="173" t="s">
        <v>3</v>
      </c>
      <c r="L103" s="111"/>
      <c r="M103" s="196"/>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98"/>
    </row>
    <row r="104" spans="1:95" s="57" customFormat="1" ht="78" customHeight="1">
      <c r="A104" s="80" t="s">
        <v>75</v>
      </c>
      <c r="B104" s="79">
        <v>2320</v>
      </c>
      <c r="C104" s="79">
        <v>852</v>
      </c>
      <c r="D104" s="79"/>
      <c r="E104" s="81">
        <f>E105</f>
        <v>800</v>
      </c>
      <c r="F104" s="166">
        <f t="shared" ref="F104:I104" si="29">F105</f>
        <v>4717</v>
      </c>
      <c r="G104" s="81">
        <f t="shared" si="29"/>
        <v>2500</v>
      </c>
      <c r="H104" s="81">
        <f t="shared" si="29"/>
        <v>0</v>
      </c>
      <c r="I104" s="81">
        <f t="shared" si="29"/>
        <v>0</v>
      </c>
      <c r="J104" s="81">
        <f t="shared" ref="J104:J107" si="30">I104</f>
        <v>0</v>
      </c>
      <c r="K104" s="172" t="s">
        <v>60</v>
      </c>
      <c r="M104" s="196"/>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98"/>
    </row>
    <row r="105" spans="1:95" s="57" customFormat="1" ht="25.5" customHeight="1">
      <c r="A105" s="130" t="s">
        <v>195</v>
      </c>
      <c r="B105" s="79"/>
      <c r="C105" s="105" t="s">
        <v>177</v>
      </c>
      <c r="D105" s="76">
        <v>291</v>
      </c>
      <c r="E105" s="82">
        <v>800</v>
      </c>
      <c r="F105" s="163">
        <v>4717</v>
      </c>
      <c r="G105" s="82">
        <v>2500</v>
      </c>
      <c r="H105" s="82">
        <v>0</v>
      </c>
      <c r="I105" s="82">
        <f>H105</f>
        <v>0</v>
      </c>
      <c r="J105" s="82">
        <f t="shared" si="30"/>
        <v>0</v>
      </c>
      <c r="K105" s="173" t="s">
        <v>3</v>
      </c>
      <c r="L105" s="111"/>
      <c r="M105" s="196"/>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98"/>
    </row>
    <row r="106" spans="1:95" s="57" customFormat="1" ht="58.5" customHeight="1">
      <c r="A106" s="80" t="s">
        <v>76</v>
      </c>
      <c r="B106" s="79">
        <v>2330</v>
      </c>
      <c r="C106" s="79">
        <v>853</v>
      </c>
      <c r="D106" s="79"/>
      <c r="E106" s="81">
        <f>SUM(E107:E108)</f>
        <v>4544.1499999999996</v>
      </c>
      <c r="F106" s="166">
        <f>SUM(F107:F108)</f>
        <v>946.1</v>
      </c>
      <c r="G106" s="81">
        <f>SUM(G107:G108)</f>
        <v>0</v>
      </c>
      <c r="H106" s="81">
        <f t="shared" ref="H106:I106" si="31">SUM(H107:H108)</f>
        <v>0</v>
      </c>
      <c r="I106" s="81">
        <f t="shared" si="31"/>
        <v>0</v>
      </c>
      <c r="J106" s="81">
        <f t="shared" si="30"/>
        <v>0</v>
      </c>
      <c r="K106" s="172" t="s">
        <v>60</v>
      </c>
      <c r="M106" s="196"/>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98"/>
    </row>
    <row r="107" spans="1:95" s="57" customFormat="1" ht="68.25" customHeight="1">
      <c r="A107" s="130" t="s">
        <v>196</v>
      </c>
      <c r="B107" s="79"/>
      <c r="C107" s="105" t="s">
        <v>177</v>
      </c>
      <c r="D107" s="76">
        <v>292</v>
      </c>
      <c r="E107" s="82">
        <v>3762.4</v>
      </c>
      <c r="F107" s="163">
        <v>0</v>
      </c>
      <c r="G107" s="82">
        <v>0</v>
      </c>
      <c r="H107" s="82">
        <v>0</v>
      </c>
      <c r="I107" s="82">
        <v>0</v>
      </c>
      <c r="J107" s="82">
        <f t="shared" si="30"/>
        <v>0</v>
      </c>
      <c r="K107" s="173" t="s">
        <v>3</v>
      </c>
      <c r="L107" s="111"/>
      <c r="M107" s="196"/>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98"/>
    </row>
    <row r="108" spans="1:95" s="57" customFormat="1" ht="65.25" customHeight="1">
      <c r="A108" s="130" t="s">
        <v>197</v>
      </c>
      <c r="B108" s="79"/>
      <c r="C108" s="105" t="s">
        <v>177</v>
      </c>
      <c r="D108" s="76">
        <v>293</v>
      </c>
      <c r="E108" s="82">
        <v>781.75</v>
      </c>
      <c r="F108" s="163">
        <v>946.1</v>
      </c>
      <c r="G108" s="82">
        <v>0</v>
      </c>
      <c r="H108" s="82">
        <v>0</v>
      </c>
      <c r="I108" s="82">
        <v>0</v>
      </c>
      <c r="J108" s="82">
        <v>0</v>
      </c>
      <c r="K108" s="173" t="s">
        <v>3</v>
      </c>
      <c r="L108" s="111"/>
      <c r="M108" s="196"/>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98"/>
    </row>
    <row r="109" spans="1:95" s="57" customFormat="1" ht="38.25" customHeight="1">
      <c r="A109" s="59" t="s">
        <v>231</v>
      </c>
      <c r="B109" s="79">
        <v>2600</v>
      </c>
      <c r="C109" s="79" t="s">
        <v>60</v>
      </c>
      <c r="D109" s="76"/>
      <c r="E109" s="81">
        <f>E111</f>
        <v>2509646.69</v>
      </c>
      <c r="F109" s="166">
        <f t="shared" ref="F109:J109" si="32">F111</f>
        <v>2458210.6800000002</v>
      </c>
      <c r="G109" s="81">
        <f t="shared" si="32"/>
        <v>4626403.66</v>
      </c>
      <c r="H109" s="81">
        <f t="shared" si="32"/>
        <v>5359544.6500000004</v>
      </c>
      <c r="I109" s="81">
        <f t="shared" si="32"/>
        <v>5359544.6500000004</v>
      </c>
      <c r="J109" s="81">
        <f t="shared" si="32"/>
        <v>2127467.0099999998</v>
      </c>
      <c r="K109" s="172">
        <f t="shared" ref="K109" si="33">K111</f>
        <v>2127467.0099999998</v>
      </c>
      <c r="M109" s="196"/>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98"/>
    </row>
    <row r="110" spans="1:95" s="67" customFormat="1" ht="30" customHeight="1">
      <c r="A110" s="149" t="s">
        <v>230</v>
      </c>
      <c r="B110" s="76"/>
      <c r="C110" s="76"/>
      <c r="D110" s="76"/>
      <c r="E110" s="82"/>
      <c r="F110" s="163"/>
      <c r="G110" s="82"/>
      <c r="H110" s="82"/>
      <c r="I110" s="82"/>
      <c r="J110" s="78"/>
      <c r="K110" s="177"/>
      <c r="M110" s="196"/>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98"/>
    </row>
    <row r="111" spans="1:95" s="57" customFormat="1" ht="32.25" customHeight="1">
      <c r="A111" s="116" t="s">
        <v>259</v>
      </c>
      <c r="B111" s="93">
        <v>2640</v>
      </c>
      <c r="C111" s="93">
        <v>244</v>
      </c>
      <c r="D111" s="93"/>
      <c r="E111" s="94">
        <f>SUM(E112:E121)</f>
        <v>2509646.69</v>
      </c>
      <c r="F111" s="166">
        <f t="shared" ref="F111:J111" si="34">SUM(F112:F121)</f>
        <v>2458210.6800000002</v>
      </c>
      <c r="G111" s="94">
        <f t="shared" si="34"/>
        <v>4626403.66</v>
      </c>
      <c r="H111" s="94">
        <f t="shared" si="34"/>
        <v>5359544.6500000004</v>
      </c>
      <c r="I111" s="94">
        <f t="shared" si="34"/>
        <v>5359544.6500000004</v>
      </c>
      <c r="J111" s="94">
        <f t="shared" si="34"/>
        <v>2127467.0099999998</v>
      </c>
      <c r="K111" s="176">
        <f t="shared" ref="K111" si="35">SUM(K112:K121)</f>
        <v>2127467.0099999998</v>
      </c>
      <c r="L111" s="111"/>
      <c r="M111" s="196"/>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98"/>
    </row>
    <row r="112" spans="1:95" s="107" customFormat="1" ht="18" customHeight="1">
      <c r="A112" s="132" t="s">
        <v>198</v>
      </c>
      <c r="B112" s="104"/>
      <c r="C112" s="105" t="s">
        <v>177</v>
      </c>
      <c r="D112" s="104">
        <v>221</v>
      </c>
      <c r="E112" s="106">
        <v>8411.76</v>
      </c>
      <c r="F112" s="114">
        <v>8264.32</v>
      </c>
      <c r="G112" s="113">
        <v>9300.16</v>
      </c>
      <c r="H112" s="114">
        <v>8500</v>
      </c>
      <c r="I112" s="114">
        <v>8500</v>
      </c>
      <c r="J112" s="114">
        <f t="shared" ref="J112:K113" si="36">I112</f>
        <v>8500</v>
      </c>
      <c r="K112" s="114">
        <f t="shared" si="36"/>
        <v>8500</v>
      </c>
      <c r="L112" s="110"/>
      <c r="M112" s="196"/>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98"/>
    </row>
    <row r="113" spans="1:95" s="107" customFormat="1" ht="18" customHeight="1">
      <c r="A113" s="132" t="s">
        <v>206</v>
      </c>
      <c r="B113" s="104"/>
      <c r="C113" s="105" t="s">
        <v>177</v>
      </c>
      <c r="D113" s="104">
        <v>222</v>
      </c>
      <c r="E113" s="114">
        <v>0</v>
      </c>
      <c r="F113" s="114">
        <v>0</v>
      </c>
      <c r="G113" s="113">
        <v>0</v>
      </c>
      <c r="H113" s="114">
        <v>0</v>
      </c>
      <c r="I113" s="114">
        <v>0</v>
      </c>
      <c r="J113" s="114">
        <f t="shared" si="36"/>
        <v>0</v>
      </c>
      <c r="K113" s="114">
        <f t="shared" si="36"/>
        <v>0</v>
      </c>
      <c r="L113" s="110"/>
      <c r="M113" s="196"/>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98"/>
    </row>
    <row r="114" spans="1:95" s="107" customFormat="1" ht="35.25" customHeight="1">
      <c r="A114" s="132" t="s">
        <v>199</v>
      </c>
      <c r="B114" s="104"/>
      <c r="C114" s="105" t="s">
        <v>177</v>
      </c>
      <c r="D114" s="104">
        <v>225</v>
      </c>
      <c r="E114" s="106">
        <v>1206090.72</v>
      </c>
      <c r="F114" s="114">
        <v>1375678.3</v>
      </c>
      <c r="G114" s="113">
        <v>2182691.65</v>
      </c>
      <c r="H114" s="114">
        <f>2523000-256040.77</f>
        <v>2266959.23</v>
      </c>
      <c r="I114" s="114">
        <f>2523000-256040.77</f>
        <v>2266959.23</v>
      </c>
      <c r="J114" s="114">
        <v>1153451.5900000001</v>
      </c>
      <c r="K114" s="114">
        <f t="shared" ref="J114:K121" si="37">J114</f>
        <v>1153451.5900000001</v>
      </c>
      <c r="L114" s="110"/>
      <c r="M114" s="196"/>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98"/>
    </row>
    <row r="115" spans="1:95" s="107" customFormat="1" ht="18" customHeight="1">
      <c r="A115" s="132" t="s">
        <v>193</v>
      </c>
      <c r="B115" s="104"/>
      <c r="C115" s="105" t="s">
        <v>177</v>
      </c>
      <c r="D115" s="104">
        <v>226</v>
      </c>
      <c r="E115" s="106">
        <f>204262.5-E87</f>
        <v>196119.5</v>
      </c>
      <c r="F115" s="114">
        <f>267241-F87</f>
        <v>252241</v>
      </c>
      <c r="G115" s="113">
        <f>632264-G87</f>
        <v>607264</v>
      </c>
      <c r="H115" s="114">
        <v>2300000</v>
      </c>
      <c r="I115" s="114">
        <v>2300000</v>
      </c>
      <c r="J115" s="114">
        <v>181430</v>
      </c>
      <c r="K115" s="114">
        <f t="shared" si="37"/>
        <v>181430</v>
      </c>
      <c r="L115" s="110"/>
      <c r="M115" s="196"/>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98"/>
    </row>
    <row r="116" spans="1:95" s="107" customFormat="1" ht="18" customHeight="1">
      <c r="A116" s="132" t="s">
        <v>200</v>
      </c>
      <c r="B116" s="104"/>
      <c r="C116" s="105" t="s">
        <v>177</v>
      </c>
      <c r="D116" s="104">
        <v>310</v>
      </c>
      <c r="E116" s="106">
        <v>302267.25</v>
      </c>
      <c r="F116" s="114">
        <v>270311</v>
      </c>
      <c r="G116" s="113">
        <v>23370</v>
      </c>
      <c r="H116" s="114">
        <v>0</v>
      </c>
      <c r="I116" s="114">
        <v>0</v>
      </c>
      <c r="J116" s="114">
        <v>0</v>
      </c>
      <c r="K116" s="114">
        <v>0</v>
      </c>
      <c r="L116" s="110"/>
      <c r="M116" s="196"/>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98"/>
    </row>
    <row r="117" spans="1:95" s="107" customFormat="1" ht="55.5" customHeight="1">
      <c r="A117" s="132" t="s">
        <v>201</v>
      </c>
      <c r="B117" s="104"/>
      <c r="C117" s="105" t="s">
        <v>177</v>
      </c>
      <c r="D117" s="104">
        <v>341</v>
      </c>
      <c r="E117" s="106">
        <v>16960.400000000001</v>
      </c>
      <c r="F117" s="114">
        <v>17000</v>
      </c>
      <c r="G117" s="113">
        <v>11500</v>
      </c>
      <c r="H117" s="114">
        <v>0</v>
      </c>
      <c r="I117" s="114">
        <f t="shared" ref="I117" si="38">H117</f>
        <v>0</v>
      </c>
      <c r="J117" s="114">
        <f t="shared" si="37"/>
        <v>0</v>
      </c>
      <c r="K117" s="114">
        <f t="shared" si="37"/>
        <v>0</v>
      </c>
      <c r="L117" s="110"/>
      <c r="M117" s="196"/>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98"/>
    </row>
    <row r="118" spans="1:95" s="107" customFormat="1" ht="34.5" customHeight="1">
      <c r="A118" s="132" t="s">
        <v>202</v>
      </c>
      <c r="B118" s="104"/>
      <c r="C118" s="105" t="s">
        <v>177</v>
      </c>
      <c r="D118" s="104">
        <v>342</v>
      </c>
      <c r="E118" s="106">
        <v>228844.66</v>
      </c>
      <c r="F118" s="114">
        <v>154847.79</v>
      </c>
      <c r="G118" s="113">
        <v>1053317.0900000001</v>
      </c>
      <c r="H118" s="114">
        <f>600000+13892</f>
        <v>613892</v>
      </c>
      <c r="I118" s="114">
        <f t="shared" ref="I118:K118" si="39">600000+13892</f>
        <v>613892</v>
      </c>
      <c r="J118" s="114">
        <f t="shared" si="39"/>
        <v>613892</v>
      </c>
      <c r="K118" s="114">
        <f t="shared" si="39"/>
        <v>613892</v>
      </c>
      <c r="L118" s="110"/>
      <c r="M118" s="196"/>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98"/>
    </row>
    <row r="119" spans="1:95" s="107" customFormat="1" ht="33.75" customHeight="1">
      <c r="A119" s="132" t="s">
        <v>203</v>
      </c>
      <c r="B119" s="104"/>
      <c r="C119" s="105" t="s">
        <v>177</v>
      </c>
      <c r="D119" s="104">
        <v>344</v>
      </c>
      <c r="E119" s="106">
        <v>91035.520000000004</v>
      </c>
      <c r="F119" s="114">
        <v>35762.5</v>
      </c>
      <c r="G119" s="113">
        <v>175007</v>
      </c>
      <c r="H119" s="114">
        <v>15000</v>
      </c>
      <c r="I119" s="114">
        <f t="shared" ref="I119" si="40">H119</f>
        <v>15000</v>
      </c>
      <c r="J119" s="114">
        <f t="shared" si="37"/>
        <v>15000</v>
      </c>
      <c r="K119" s="114">
        <f t="shared" si="37"/>
        <v>15000</v>
      </c>
      <c r="L119" s="110"/>
      <c r="M119" s="196"/>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98"/>
    </row>
    <row r="120" spans="1:95" s="107" customFormat="1" ht="34.5" customHeight="1">
      <c r="A120" s="132" t="s">
        <v>204</v>
      </c>
      <c r="B120" s="104"/>
      <c r="C120" s="105" t="s">
        <v>177</v>
      </c>
      <c r="D120" s="104">
        <v>345</v>
      </c>
      <c r="E120" s="106">
        <v>27037.31</v>
      </c>
      <c r="F120" s="114">
        <v>56760</v>
      </c>
      <c r="G120" s="113">
        <v>133694.06</v>
      </c>
      <c r="H120" s="114">
        <v>18223.38</v>
      </c>
      <c r="I120" s="114">
        <f t="shared" ref="I120" si="41">H120</f>
        <v>18223.38</v>
      </c>
      <c r="J120" s="114">
        <f t="shared" si="37"/>
        <v>18223.38</v>
      </c>
      <c r="K120" s="114">
        <f t="shared" si="37"/>
        <v>18223.38</v>
      </c>
      <c r="L120" s="110"/>
      <c r="M120" s="196"/>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98"/>
    </row>
    <row r="121" spans="1:95" s="107" customFormat="1" ht="42.75" customHeight="1">
      <c r="A121" s="132" t="s">
        <v>205</v>
      </c>
      <c r="B121" s="104"/>
      <c r="C121" s="105" t="s">
        <v>177</v>
      </c>
      <c r="D121" s="104">
        <v>346</v>
      </c>
      <c r="E121" s="106">
        <v>432879.57</v>
      </c>
      <c r="F121" s="114">
        <v>287345.77</v>
      </c>
      <c r="G121" s="113">
        <v>430259.7</v>
      </c>
      <c r="H121" s="114">
        <v>136970.04</v>
      </c>
      <c r="I121" s="114">
        <v>136970.04</v>
      </c>
      <c r="J121" s="114">
        <f t="shared" si="37"/>
        <v>136970.04</v>
      </c>
      <c r="K121" s="114">
        <f t="shared" si="37"/>
        <v>136970.04</v>
      </c>
      <c r="L121" s="110"/>
      <c r="M121" s="196"/>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98"/>
    </row>
    <row r="122" spans="1:95" s="516" customFormat="1" ht="30" customHeight="1">
      <c r="A122" s="505" t="s">
        <v>176</v>
      </c>
      <c r="B122" s="506" t="s">
        <v>267</v>
      </c>
      <c r="C122" s="506"/>
      <c r="D122" s="506"/>
      <c r="E122" s="507">
        <f>E123</f>
        <v>124286.01999999999</v>
      </c>
      <c r="F122" s="507">
        <f t="shared" ref="F122:I122" si="42">F123</f>
        <v>187185.29</v>
      </c>
      <c r="G122" s="507">
        <f t="shared" si="42"/>
        <v>214490.84000000003</v>
      </c>
      <c r="H122" s="507">
        <f t="shared" si="42"/>
        <v>164225.84</v>
      </c>
      <c r="I122" s="507">
        <f t="shared" si="42"/>
        <v>164225.84</v>
      </c>
      <c r="J122" s="507">
        <f>I122</f>
        <v>164225.84</v>
      </c>
      <c r="K122" s="507">
        <f>J122</f>
        <v>164225.84</v>
      </c>
      <c r="L122" s="508"/>
      <c r="M122" s="509"/>
      <c r="N122" s="510"/>
      <c r="O122" s="510"/>
      <c r="P122" s="510"/>
      <c r="Q122" s="510"/>
      <c r="R122" s="510"/>
      <c r="S122" s="510"/>
      <c r="T122" s="511"/>
      <c r="U122" s="512"/>
      <c r="V122" s="512"/>
      <c r="W122" s="512"/>
      <c r="X122" s="512"/>
      <c r="Y122" s="512"/>
      <c r="Z122" s="512"/>
      <c r="AA122" s="512"/>
      <c r="AB122" s="512"/>
      <c r="AC122" s="512"/>
      <c r="AD122" s="512"/>
      <c r="AE122" s="512"/>
      <c r="AF122" s="512"/>
      <c r="AG122" s="512"/>
      <c r="AH122" s="512"/>
      <c r="AI122" s="512"/>
      <c r="AJ122" s="512"/>
      <c r="AK122" s="512"/>
      <c r="AL122" s="512"/>
      <c r="AM122" s="512"/>
      <c r="AN122" s="512"/>
      <c r="AO122" s="512"/>
      <c r="AP122" s="512"/>
      <c r="AQ122" s="513"/>
      <c r="AR122" s="511"/>
      <c r="AS122" s="512"/>
      <c r="AT122" s="512"/>
      <c r="AU122" s="512"/>
      <c r="AV122" s="512"/>
      <c r="AW122" s="512"/>
      <c r="AX122" s="512"/>
      <c r="AY122" s="512"/>
      <c r="AZ122" s="512"/>
      <c r="BA122" s="512"/>
      <c r="BB122" s="512"/>
      <c r="BC122" s="512"/>
      <c r="BD122" s="512"/>
      <c r="BE122" s="512"/>
      <c r="BF122" s="512"/>
      <c r="BG122" s="512"/>
      <c r="BH122" s="512"/>
      <c r="BI122" s="512"/>
      <c r="BJ122" s="512"/>
      <c r="BK122" s="512"/>
      <c r="BL122" s="512"/>
      <c r="BM122" s="512"/>
      <c r="BN122" s="512"/>
      <c r="BO122" s="513"/>
      <c r="BP122" s="511"/>
      <c r="BQ122" s="512"/>
      <c r="BR122" s="512"/>
      <c r="BS122" s="512"/>
      <c r="BT122" s="512"/>
      <c r="BU122" s="512"/>
      <c r="BV122" s="512"/>
      <c r="BW122" s="512"/>
      <c r="BX122" s="512"/>
      <c r="BY122" s="512"/>
      <c r="BZ122" s="512"/>
      <c r="CA122" s="512"/>
      <c r="CB122" s="512"/>
      <c r="CC122" s="512"/>
      <c r="CD122" s="512"/>
      <c r="CE122" s="512"/>
      <c r="CF122" s="512"/>
      <c r="CG122" s="512"/>
      <c r="CH122" s="512"/>
      <c r="CI122" s="512"/>
      <c r="CJ122" s="512"/>
      <c r="CK122" s="512"/>
      <c r="CL122" s="512"/>
      <c r="CM122" s="513"/>
      <c r="CN122" s="514"/>
      <c r="CO122" s="514"/>
      <c r="CP122" s="514"/>
      <c r="CQ122" s="515"/>
    </row>
    <row r="123" spans="1:95" s="57" customFormat="1" ht="26.25" customHeight="1">
      <c r="A123" s="422" t="s">
        <v>99</v>
      </c>
      <c r="B123" s="423">
        <v>2100</v>
      </c>
      <c r="C123" s="423" t="s">
        <v>60</v>
      </c>
      <c r="D123" s="420"/>
      <c r="E123" s="412">
        <f>E125+E129+E131</f>
        <v>124286.01999999999</v>
      </c>
      <c r="F123" s="413">
        <f>F125+F129+F131</f>
        <v>187185.29</v>
      </c>
      <c r="G123" s="412">
        <f>G125+G129+G131</f>
        <v>214490.84000000003</v>
      </c>
      <c r="H123" s="412">
        <f>H125+H129+H131</f>
        <v>164225.84</v>
      </c>
      <c r="I123" s="412">
        <f>I125+I129+I131</f>
        <v>164225.84</v>
      </c>
      <c r="J123" s="412">
        <f>I123</f>
        <v>164225.84</v>
      </c>
      <c r="K123" s="412" t="s">
        <v>60</v>
      </c>
      <c r="M123" s="196"/>
      <c r="N123" s="197"/>
      <c r="O123" s="197"/>
      <c r="P123" s="197"/>
      <c r="Q123" s="197"/>
      <c r="R123" s="197"/>
      <c r="S123" s="197"/>
      <c r="T123" s="464"/>
      <c r="U123" s="465"/>
      <c r="V123" s="465"/>
      <c r="W123" s="465"/>
      <c r="X123" s="465"/>
      <c r="Y123" s="465"/>
      <c r="Z123" s="465"/>
      <c r="AA123" s="465"/>
      <c r="AB123" s="465"/>
      <c r="AC123" s="465"/>
      <c r="AD123" s="465"/>
      <c r="AE123" s="465"/>
      <c r="AF123" s="465"/>
      <c r="AG123" s="465"/>
      <c r="AH123" s="465"/>
      <c r="AI123" s="465"/>
      <c r="AJ123" s="465"/>
      <c r="AK123" s="465"/>
      <c r="AL123" s="465"/>
      <c r="AM123" s="465"/>
      <c r="AN123" s="465"/>
      <c r="AO123" s="465"/>
      <c r="AP123" s="465"/>
      <c r="AQ123" s="466"/>
      <c r="AR123" s="464"/>
      <c r="AS123" s="465"/>
      <c r="AT123" s="465"/>
      <c r="AU123" s="465"/>
      <c r="AV123" s="465"/>
      <c r="AW123" s="465"/>
      <c r="AX123" s="465"/>
      <c r="AY123" s="465"/>
      <c r="AZ123" s="465"/>
      <c r="BA123" s="465"/>
      <c r="BB123" s="465"/>
      <c r="BC123" s="465"/>
      <c r="BD123" s="465"/>
      <c r="BE123" s="465"/>
      <c r="BF123" s="465"/>
      <c r="BG123" s="465"/>
      <c r="BH123" s="465"/>
      <c r="BI123" s="465"/>
      <c r="BJ123" s="465"/>
      <c r="BK123" s="465"/>
      <c r="BL123" s="465"/>
      <c r="BM123" s="465"/>
      <c r="BN123" s="465"/>
      <c r="BO123" s="466"/>
      <c r="BP123" s="464"/>
      <c r="BQ123" s="465"/>
      <c r="BR123" s="465"/>
      <c r="BS123" s="465"/>
      <c r="BT123" s="465"/>
      <c r="BU123" s="465"/>
      <c r="BV123" s="465"/>
      <c r="BW123" s="465"/>
      <c r="BX123" s="465"/>
      <c r="BY123" s="465"/>
      <c r="BZ123" s="465"/>
      <c r="CA123" s="465"/>
      <c r="CB123" s="465"/>
      <c r="CC123" s="465"/>
      <c r="CD123" s="465"/>
      <c r="CE123" s="465"/>
      <c r="CF123" s="465"/>
      <c r="CG123" s="465"/>
      <c r="CH123" s="465"/>
      <c r="CI123" s="465"/>
      <c r="CJ123" s="465"/>
      <c r="CK123" s="465"/>
      <c r="CL123" s="465"/>
      <c r="CM123" s="466"/>
      <c r="CN123" s="198"/>
      <c r="CO123" s="198"/>
      <c r="CP123" s="198"/>
      <c r="CQ123" s="98"/>
    </row>
    <row r="124" spans="1:95" s="57" customFormat="1" ht="25.5" customHeight="1">
      <c r="A124" s="422"/>
      <c r="B124" s="423"/>
      <c r="C124" s="423"/>
      <c r="D124" s="420"/>
      <c r="E124" s="412"/>
      <c r="F124" s="413"/>
      <c r="G124" s="412"/>
      <c r="H124" s="412"/>
      <c r="I124" s="412"/>
      <c r="J124" s="412"/>
      <c r="K124" s="412"/>
      <c r="M124" s="196"/>
      <c r="N124" s="197"/>
      <c r="O124" s="197"/>
      <c r="P124" s="197"/>
      <c r="Q124" s="197"/>
      <c r="R124" s="197"/>
      <c r="S124" s="197"/>
      <c r="T124" s="464"/>
      <c r="U124" s="465"/>
      <c r="V124" s="465"/>
      <c r="W124" s="465"/>
      <c r="X124" s="465"/>
      <c r="Y124" s="465"/>
      <c r="Z124" s="465"/>
      <c r="AA124" s="465"/>
      <c r="AB124" s="465"/>
      <c r="AC124" s="465"/>
      <c r="AD124" s="465"/>
      <c r="AE124" s="465"/>
      <c r="AF124" s="465"/>
      <c r="AG124" s="465"/>
      <c r="AH124" s="465"/>
      <c r="AI124" s="465"/>
      <c r="AJ124" s="465"/>
      <c r="AK124" s="465"/>
      <c r="AL124" s="465"/>
      <c r="AM124" s="465"/>
      <c r="AN124" s="465"/>
      <c r="AO124" s="465"/>
      <c r="AP124" s="465"/>
      <c r="AQ124" s="466"/>
      <c r="AR124" s="464"/>
      <c r="AS124" s="465"/>
      <c r="AT124" s="465"/>
      <c r="AU124" s="465"/>
      <c r="AV124" s="465"/>
      <c r="AW124" s="465"/>
      <c r="AX124" s="465"/>
      <c r="AY124" s="465"/>
      <c r="AZ124" s="465"/>
      <c r="BA124" s="465"/>
      <c r="BB124" s="465"/>
      <c r="BC124" s="465"/>
      <c r="BD124" s="465"/>
      <c r="BE124" s="465"/>
      <c r="BF124" s="465"/>
      <c r="BG124" s="465"/>
      <c r="BH124" s="465"/>
      <c r="BI124" s="465"/>
      <c r="BJ124" s="465"/>
      <c r="BK124" s="465"/>
      <c r="BL124" s="465"/>
      <c r="BM124" s="465"/>
      <c r="BN124" s="465"/>
      <c r="BO124" s="466"/>
      <c r="BP124" s="464"/>
      <c r="BQ124" s="465"/>
      <c r="BR124" s="465"/>
      <c r="BS124" s="465"/>
      <c r="BT124" s="465"/>
      <c r="BU124" s="465"/>
      <c r="BV124" s="465"/>
      <c r="BW124" s="465"/>
      <c r="BX124" s="465"/>
      <c r="BY124" s="465"/>
      <c r="BZ124" s="465"/>
      <c r="CA124" s="465"/>
      <c r="CB124" s="465"/>
      <c r="CC124" s="465"/>
      <c r="CD124" s="465"/>
      <c r="CE124" s="465"/>
      <c r="CF124" s="465"/>
      <c r="CG124" s="465"/>
      <c r="CH124" s="465"/>
      <c r="CI124" s="465"/>
      <c r="CJ124" s="465"/>
      <c r="CK124" s="465"/>
      <c r="CL124" s="465"/>
      <c r="CM124" s="466"/>
      <c r="CN124" s="198"/>
      <c r="CO124" s="198"/>
      <c r="CP124" s="198"/>
      <c r="CQ124" s="98"/>
    </row>
    <row r="125" spans="1:95" s="57" customFormat="1" ht="18" customHeight="1">
      <c r="A125" s="422" t="s">
        <v>100</v>
      </c>
      <c r="B125" s="423">
        <v>2110</v>
      </c>
      <c r="C125" s="423">
        <v>111</v>
      </c>
      <c r="D125" s="420"/>
      <c r="E125" s="412">
        <f>SUM(E128:E128)</f>
        <v>115619.62</v>
      </c>
      <c r="F125" s="413">
        <f>SUM(F128:F128)</f>
        <v>164771.03</v>
      </c>
      <c r="G125" s="412">
        <f>SUM(G128:G128)</f>
        <v>164739.51</v>
      </c>
      <c r="H125" s="412">
        <f>SUM(H128:H128)</f>
        <v>126133.52</v>
      </c>
      <c r="I125" s="412">
        <f>SUM(I128:I128)</f>
        <v>126133.52</v>
      </c>
      <c r="J125" s="412">
        <f>I125</f>
        <v>126133.52</v>
      </c>
      <c r="K125" s="412" t="s">
        <v>60</v>
      </c>
      <c r="M125" s="196"/>
      <c r="N125" s="197"/>
      <c r="O125" s="197"/>
      <c r="P125" s="197"/>
      <c r="Q125" s="197"/>
      <c r="R125" s="197"/>
      <c r="S125" s="197"/>
      <c r="T125" s="464"/>
      <c r="U125" s="465"/>
      <c r="V125" s="465"/>
      <c r="W125" s="465"/>
      <c r="X125" s="465"/>
      <c r="Y125" s="465"/>
      <c r="Z125" s="465"/>
      <c r="AA125" s="465"/>
      <c r="AB125" s="465"/>
      <c r="AC125" s="465"/>
      <c r="AD125" s="465"/>
      <c r="AE125" s="465"/>
      <c r="AF125" s="465"/>
      <c r="AG125" s="465"/>
      <c r="AH125" s="465"/>
      <c r="AI125" s="465"/>
      <c r="AJ125" s="465"/>
      <c r="AK125" s="465"/>
      <c r="AL125" s="465"/>
      <c r="AM125" s="465"/>
      <c r="AN125" s="465"/>
      <c r="AO125" s="465"/>
      <c r="AP125" s="465"/>
      <c r="AQ125" s="466"/>
      <c r="AR125" s="464"/>
      <c r="AS125" s="465"/>
      <c r="AT125" s="465"/>
      <c r="AU125" s="465"/>
      <c r="AV125" s="465"/>
      <c r="AW125" s="465"/>
      <c r="AX125" s="465"/>
      <c r="AY125" s="465"/>
      <c r="AZ125" s="465"/>
      <c r="BA125" s="465"/>
      <c r="BB125" s="465"/>
      <c r="BC125" s="465"/>
      <c r="BD125" s="465"/>
      <c r="BE125" s="465"/>
      <c r="BF125" s="465"/>
      <c r="BG125" s="465"/>
      <c r="BH125" s="465"/>
      <c r="BI125" s="465"/>
      <c r="BJ125" s="465"/>
      <c r="BK125" s="465"/>
      <c r="BL125" s="465"/>
      <c r="BM125" s="465"/>
      <c r="BN125" s="465"/>
      <c r="BO125" s="466"/>
      <c r="BP125" s="464"/>
      <c r="BQ125" s="465"/>
      <c r="BR125" s="465"/>
      <c r="BS125" s="465"/>
      <c r="BT125" s="465"/>
      <c r="BU125" s="465"/>
      <c r="BV125" s="465"/>
      <c r="BW125" s="465"/>
      <c r="BX125" s="465"/>
      <c r="BY125" s="465"/>
      <c r="BZ125" s="465"/>
      <c r="CA125" s="465"/>
      <c r="CB125" s="465"/>
      <c r="CC125" s="465"/>
      <c r="CD125" s="465"/>
      <c r="CE125" s="465"/>
      <c r="CF125" s="465"/>
      <c r="CG125" s="465"/>
      <c r="CH125" s="465"/>
      <c r="CI125" s="465"/>
      <c r="CJ125" s="465"/>
      <c r="CK125" s="465"/>
      <c r="CL125" s="465"/>
      <c r="CM125" s="466"/>
      <c r="CN125" s="198"/>
      <c r="CO125" s="198"/>
      <c r="CP125" s="198"/>
      <c r="CQ125" s="98"/>
    </row>
    <row r="126" spans="1:95" s="57" customFormat="1" ht="18" customHeight="1">
      <c r="A126" s="422"/>
      <c r="B126" s="423"/>
      <c r="C126" s="423"/>
      <c r="D126" s="420"/>
      <c r="E126" s="412"/>
      <c r="F126" s="413"/>
      <c r="G126" s="412"/>
      <c r="H126" s="412"/>
      <c r="I126" s="412"/>
      <c r="J126" s="412"/>
      <c r="K126" s="412"/>
      <c r="L126" s="111"/>
      <c r="M126" s="196"/>
      <c r="N126" s="197"/>
      <c r="O126" s="197"/>
      <c r="P126" s="197"/>
      <c r="Q126" s="197"/>
      <c r="R126" s="197"/>
      <c r="S126" s="197"/>
      <c r="T126" s="464"/>
      <c r="U126" s="465"/>
      <c r="V126" s="465"/>
      <c r="W126" s="465"/>
      <c r="X126" s="465"/>
      <c r="Y126" s="465"/>
      <c r="Z126" s="465"/>
      <c r="AA126" s="465"/>
      <c r="AB126" s="465"/>
      <c r="AC126" s="465"/>
      <c r="AD126" s="465"/>
      <c r="AE126" s="465"/>
      <c r="AF126" s="465"/>
      <c r="AG126" s="465"/>
      <c r="AH126" s="465"/>
      <c r="AI126" s="465"/>
      <c r="AJ126" s="465"/>
      <c r="AK126" s="465"/>
      <c r="AL126" s="465"/>
      <c r="AM126" s="465"/>
      <c r="AN126" s="465"/>
      <c r="AO126" s="465"/>
      <c r="AP126" s="465"/>
      <c r="AQ126" s="466"/>
      <c r="AR126" s="464"/>
      <c r="AS126" s="465"/>
      <c r="AT126" s="465"/>
      <c r="AU126" s="465"/>
      <c r="AV126" s="465"/>
      <c r="AW126" s="465"/>
      <c r="AX126" s="465"/>
      <c r="AY126" s="465"/>
      <c r="AZ126" s="465"/>
      <c r="BA126" s="465"/>
      <c r="BB126" s="465"/>
      <c r="BC126" s="465"/>
      <c r="BD126" s="465"/>
      <c r="BE126" s="465"/>
      <c r="BF126" s="465"/>
      <c r="BG126" s="465"/>
      <c r="BH126" s="465"/>
      <c r="BI126" s="465"/>
      <c r="BJ126" s="465"/>
      <c r="BK126" s="465"/>
      <c r="BL126" s="465"/>
      <c r="BM126" s="465"/>
      <c r="BN126" s="465"/>
      <c r="BO126" s="466"/>
      <c r="BP126" s="464"/>
      <c r="BQ126" s="465"/>
      <c r="BR126" s="465"/>
      <c r="BS126" s="465"/>
      <c r="BT126" s="465"/>
      <c r="BU126" s="465"/>
      <c r="BV126" s="465"/>
      <c r="BW126" s="465"/>
      <c r="BX126" s="465"/>
      <c r="BY126" s="465"/>
      <c r="BZ126" s="465"/>
      <c r="CA126" s="465"/>
      <c r="CB126" s="465"/>
      <c r="CC126" s="465"/>
      <c r="CD126" s="465"/>
      <c r="CE126" s="465"/>
      <c r="CF126" s="465"/>
      <c r="CG126" s="465"/>
      <c r="CH126" s="465"/>
      <c r="CI126" s="465"/>
      <c r="CJ126" s="465"/>
      <c r="CK126" s="465"/>
      <c r="CL126" s="465"/>
      <c r="CM126" s="466"/>
      <c r="CN126" s="198"/>
      <c r="CO126" s="198"/>
      <c r="CP126" s="198"/>
      <c r="CQ126" s="98"/>
    </row>
    <row r="127" spans="1:95" s="103" customFormat="1" ht="18" customHeight="1">
      <c r="A127" s="130" t="s">
        <v>189</v>
      </c>
      <c r="B127" s="99"/>
      <c r="C127" s="100"/>
      <c r="D127" s="104"/>
      <c r="E127" s="101"/>
      <c r="F127" s="101"/>
      <c r="G127" s="102"/>
      <c r="H127" s="99"/>
      <c r="I127" s="99"/>
      <c r="J127" s="99"/>
      <c r="K127" s="99"/>
      <c r="L127" s="109"/>
      <c r="M127" s="196"/>
      <c r="N127" s="197"/>
      <c r="O127" s="197"/>
      <c r="P127" s="197"/>
      <c r="Q127" s="197"/>
      <c r="R127" s="197"/>
      <c r="S127" s="197"/>
      <c r="T127" s="464"/>
      <c r="U127" s="465"/>
      <c r="V127" s="465"/>
      <c r="W127" s="465"/>
      <c r="X127" s="465"/>
      <c r="Y127" s="465"/>
      <c r="Z127" s="465"/>
      <c r="AA127" s="465"/>
      <c r="AB127" s="465"/>
      <c r="AC127" s="465"/>
      <c r="AD127" s="465"/>
      <c r="AE127" s="465"/>
      <c r="AF127" s="465"/>
      <c r="AG127" s="465"/>
      <c r="AH127" s="465"/>
      <c r="AI127" s="465"/>
      <c r="AJ127" s="465"/>
      <c r="AK127" s="465"/>
      <c r="AL127" s="465"/>
      <c r="AM127" s="465"/>
      <c r="AN127" s="465"/>
      <c r="AO127" s="465"/>
      <c r="AP127" s="465"/>
      <c r="AQ127" s="466"/>
      <c r="AR127" s="464"/>
      <c r="AS127" s="465"/>
      <c r="AT127" s="465"/>
      <c r="AU127" s="465"/>
      <c r="AV127" s="465"/>
      <c r="AW127" s="465"/>
      <c r="AX127" s="465"/>
      <c r="AY127" s="465"/>
      <c r="AZ127" s="465"/>
      <c r="BA127" s="465"/>
      <c r="BB127" s="465"/>
      <c r="BC127" s="465"/>
      <c r="BD127" s="465"/>
      <c r="BE127" s="465"/>
      <c r="BF127" s="465"/>
      <c r="BG127" s="465"/>
      <c r="BH127" s="465"/>
      <c r="BI127" s="465"/>
      <c r="BJ127" s="465"/>
      <c r="BK127" s="465"/>
      <c r="BL127" s="465"/>
      <c r="BM127" s="465"/>
      <c r="BN127" s="465"/>
      <c r="BO127" s="466"/>
      <c r="BP127" s="464"/>
      <c r="BQ127" s="465"/>
      <c r="BR127" s="465"/>
      <c r="BS127" s="465"/>
      <c r="BT127" s="465"/>
      <c r="BU127" s="465"/>
      <c r="BV127" s="465"/>
      <c r="BW127" s="465"/>
      <c r="BX127" s="465"/>
      <c r="BY127" s="465"/>
      <c r="BZ127" s="465"/>
      <c r="CA127" s="465"/>
      <c r="CB127" s="465"/>
      <c r="CC127" s="465"/>
      <c r="CD127" s="465"/>
      <c r="CE127" s="465"/>
      <c r="CF127" s="465"/>
      <c r="CG127" s="465"/>
      <c r="CH127" s="465"/>
      <c r="CI127" s="465"/>
      <c r="CJ127" s="465"/>
      <c r="CK127" s="465"/>
      <c r="CL127" s="465"/>
      <c r="CM127" s="466"/>
      <c r="CN127" s="198"/>
      <c r="CO127" s="198"/>
      <c r="CP127" s="198"/>
      <c r="CQ127" s="98"/>
    </row>
    <row r="128" spans="1:95" s="107" customFormat="1" ht="18" customHeight="1">
      <c r="A128" s="131" t="s">
        <v>190</v>
      </c>
      <c r="B128" s="104"/>
      <c r="C128" s="105" t="s">
        <v>266</v>
      </c>
      <c r="D128" s="104">
        <v>211</v>
      </c>
      <c r="E128" s="106">
        <v>115619.62</v>
      </c>
      <c r="F128" s="114">
        <v>164771.03</v>
      </c>
      <c r="G128" s="113">
        <v>164739.51</v>
      </c>
      <c r="H128" s="114">
        <v>126133.52</v>
      </c>
      <c r="I128" s="114">
        <v>126133.52</v>
      </c>
      <c r="J128" s="114">
        <v>126133.52</v>
      </c>
      <c r="K128" s="104" t="s">
        <v>3</v>
      </c>
      <c r="L128" s="110"/>
      <c r="M128" s="196"/>
      <c r="N128" s="197"/>
      <c r="O128" s="197"/>
      <c r="P128" s="197"/>
      <c r="Q128" s="197"/>
      <c r="R128" s="197"/>
      <c r="S128" s="197"/>
      <c r="T128" s="464"/>
      <c r="U128" s="465"/>
      <c r="V128" s="465"/>
      <c r="W128" s="465"/>
      <c r="X128" s="465"/>
      <c r="Y128" s="465"/>
      <c r="Z128" s="465"/>
      <c r="AA128" s="465"/>
      <c r="AB128" s="465"/>
      <c r="AC128" s="465"/>
      <c r="AD128" s="465"/>
      <c r="AE128" s="465"/>
      <c r="AF128" s="465"/>
      <c r="AG128" s="465"/>
      <c r="AH128" s="465"/>
      <c r="AI128" s="465"/>
      <c r="AJ128" s="465"/>
      <c r="AK128" s="465"/>
      <c r="AL128" s="465"/>
      <c r="AM128" s="465"/>
      <c r="AN128" s="465"/>
      <c r="AO128" s="465"/>
      <c r="AP128" s="465"/>
      <c r="AQ128" s="466"/>
      <c r="AR128" s="464"/>
      <c r="AS128" s="465"/>
      <c r="AT128" s="465"/>
      <c r="AU128" s="465"/>
      <c r="AV128" s="465"/>
      <c r="AW128" s="465"/>
      <c r="AX128" s="465"/>
      <c r="AY128" s="465"/>
      <c r="AZ128" s="465"/>
      <c r="BA128" s="465"/>
      <c r="BB128" s="465"/>
      <c r="BC128" s="465"/>
      <c r="BD128" s="465"/>
      <c r="BE128" s="465"/>
      <c r="BF128" s="465"/>
      <c r="BG128" s="465"/>
      <c r="BH128" s="465"/>
      <c r="BI128" s="465"/>
      <c r="BJ128" s="465"/>
      <c r="BK128" s="465"/>
      <c r="BL128" s="465"/>
      <c r="BM128" s="465"/>
      <c r="BN128" s="465"/>
      <c r="BO128" s="466"/>
      <c r="BP128" s="464"/>
      <c r="BQ128" s="465"/>
      <c r="BR128" s="465"/>
      <c r="BS128" s="465"/>
      <c r="BT128" s="465"/>
      <c r="BU128" s="465"/>
      <c r="BV128" s="465"/>
      <c r="BW128" s="465"/>
      <c r="BX128" s="465"/>
      <c r="BY128" s="465"/>
      <c r="BZ128" s="465"/>
      <c r="CA128" s="465"/>
      <c r="CB128" s="465"/>
      <c r="CC128" s="465"/>
      <c r="CD128" s="465"/>
      <c r="CE128" s="465"/>
      <c r="CF128" s="465"/>
      <c r="CG128" s="465"/>
      <c r="CH128" s="465"/>
      <c r="CI128" s="465"/>
      <c r="CJ128" s="465"/>
      <c r="CK128" s="465"/>
      <c r="CL128" s="465"/>
      <c r="CM128" s="466"/>
      <c r="CN128" s="198"/>
      <c r="CO128" s="198"/>
      <c r="CP128" s="198"/>
      <c r="CQ128" s="98"/>
    </row>
    <row r="129" spans="1:95" s="57" customFormat="1" ht="50.25" customHeight="1">
      <c r="A129" s="80" t="s">
        <v>71</v>
      </c>
      <c r="B129" s="79">
        <v>2120</v>
      </c>
      <c r="C129" s="79">
        <v>112</v>
      </c>
      <c r="D129" s="76"/>
      <c r="E129" s="81">
        <f>SUM(E130:E130)</f>
        <v>6328.81</v>
      </c>
      <c r="F129" s="166">
        <f>SUM(F130:F130)</f>
        <v>7930.75</v>
      </c>
      <c r="G129" s="81">
        <f>SUM(G130:G130)</f>
        <v>0</v>
      </c>
      <c r="H129" s="81">
        <f>SUM(H130:H130)</f>
        <v>0</v>
      </c>
      <c r="I129" s="81">
        <f>SUM(I130:I130)</f>
        <v>0</v>
      </c>
      <c r="J129" s="81">
        <f>I129</f>
        <v>0</v>
      </c>
      <c r="K129" s="172" t="s">
        <v>60</v>
      </c>
      <c r="L129" s="111"/>
      <c r="M129" s="196"/>
      <c r="N129" s="197"/>
      <c r="O129" s="197"/>
      <c r="P129" s="197"/>
      <c r="Q129" s="197"/>
      <c r="R129" s="197"/>
      <c r="S129" s="197"/>
      <c r="T129" s="464"/>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6"/>
      <c r="AR129" s="464"/>
      <c r="AS129" s="465"/>
      <c r="AT129" s="465"/>
      <c r="AU129" s="465"/>
      <c r="AV129" s="465"/>
      <c r="AW129" s="465"/>
      <c r="AX129" s="465"/>
      <c r="AY129" s="465"/>
      <c r="AZ129" s="465"/>
      <c r="BA129" s="465"/>
      <c r="BB129" s="465"/>
      <c r="BC129" s="465"/>
      <c r="BD129" s="465"/>
      <c r="BE129" s="465"/>
      <c r="BF129" s="465"/>
      <c r="BG129" s="465"/>
      <c r="BH129" s="465"/>
      <c r="BI129" s="465"/>
      <c r="BJ129" s="465"/>
      <c r="BK129" s="465"/>
      <c r="BL129" s="465"/>
      <c r="BM129" s="465"/>
      <c r="BN129" s="465"/>
      <c r="BO129" s="466"/>
      <c r="BP129" s="464"/>
      <c r="BQ129" s="465"/>
      <c r="BR129" s="465"/>
      <c r="BS129" s="465"/>
      <c r="BT129" s="465"/>
      <c r="BU129" s="465"/>
      <c r="BV129" s="465"/>
      <c r="BW129" s="465"/>
      <c r="BX129" s="465"/>
      <c r="BY129" s="465"/>
      <c r="BZ129" s="465"/>
      <c r="CA129" s="465"/>
      <c r="CB129" s="465"/>
      <c r="CC129" s="465"/>
      <c r="CD129" s="465"/>
      <c r="CE129" s="465"/>
      <c r="CF129" s="465"/>
      <c r="CG129" s="465"/>
      <c r="CH129" s="465"/>
      <c r="CI129" s="465"/>
      <c r="CJ129" s="465"/>
      <c r="CK129" s="465"/>
      <c r="CL129" s="465"/>
      <c r="CM129" s="466"/>
      <c r="CN129" s="198"/>
      <c r="CO129" s="198"/>
      <c r="CP129" s="198"/>
      <c r="CQ129" s="98"/>
    </row>
    <row r="130" spans="1:95" s="107" customFormat="1" ht="35.25" customHeight="1">
      <c r="A130" s="131" t="s">
        <v>192</v>
      </c>
      <c r="B130" s="104"/>
      <c r="C130" s="105" t="s">
        <v>266</v>
      </c>
      <c r="D130" s="104">
        <v>266</v>
      </c>
      <c r="E130" s="112">
        <v>6328.81</v>
      </c>
      <c r="F130" s="112">
        <v>7930.75</v>
      </c>
      <c r="G130" s="113">
        <v>0</v>
      </c>
      <c r="H130" s="114">
        <v>0</v>
      </c>
      <c r="I130" s="114">
        <v>0</v>
      </c>
      <c r="J130" s="114">
        <f>I130</f>
        <v>0</v>
      </c>
      <c r="K130" s="104" t="s">
        <v>3</v>
      </c>
      <c r="L130" s="110"/>
      <c r="M130" s="196"/>
      <c r="N130" s="197"/>
      <c r="O130" s="197"/>
      <c r="P130" s="197"/>
      <c r="Q130" s="197"/>
      <c r="R130" s="197"/>
      <c r="S130" s="197"/>
      <c r="T130" s="464"/>
      <c r="U130" s="465"/>
      <c r="V130" s="465"/>
      <c r="W130" s="465"/>
      <c r="X130" s="465"/>
      <c r="Y130" s="465"/>
      <c r="Z130" s="465"/>
      <c r="AA130" s="465"/>
      <c r="AB130" s="465"/>
      <c r="AC130" s="465"/>
      <c r="AD130" s="465"/>
      <c r="AE130" s="465"/>
      <c r="AF130" s="465"/>
      <c r="AG130" s="465"/>
      <c r="AH130" s="465"/>
      <c r="AI130" s="465"/>
      <c r="AJ130" s="465"/>
      <c r="AK130" s="465"/>
      <c r="AL130" s="465"/>
      <c r="AM130" s="465"/>
      <c r="AN130" s="465"/>
      <c r="AO130" s="465"/>
      <c r="AP130" s="465"/>
      <c r="AQ130" s="466"/>
      <c r="AR130" s="464"/>
      <c r="AS130" s="465"/>
      <c r="AT130" s="465"/>
      <c r="AU130" s="465"/>
      <c r="AV130" s="465"/>
      <c r="AW130" s="465"/>
      <c r="AX130" s="465"/>
      <c r="AY130" s="465"/>
      <c r="AZ130" s="465"/>
      <c r="BA130" s="465"/>
      <c r="BB130" s="465"/>
      <c r="BC130" s="465"/>
      <c r="BD130" s="465"/>
      <c r="BE130" s="465"/>
      <c r="BF130" s="465"/>
      <c r="BG130" s="465"/>
      <c r="BH130" s="465"/>
      <c r="BI130" s="465"/>
      <c r="BJ130" s="465"/>
      <c r="BK130" s="465"/>
      <c r="BL130" s="465"/>
      <c r="BM130" s="465"/>
      <c r="BN130" s="465"/>
      <c r="BO130" s="466"/>
      <c r="BP130" s="464"/>
      <c r="BQ130" s="465"/>
      <c r="BR130" s="465"/>
      <c r="BS130" s="465"/>
      <c r="BT130" s="465"/>
      <c r="BU130" s="465"/>
      <c r="BV130" s="465"/>
      <c r="BW130" s="465"/>
      <c r="BX130" s="465"/>
      <c r="BY130" s="465"/>
      <c r="BZ130" s="465"/>
      <c r="CA130" s="465"/>
      <c r="CB130" s="465"/>
      <c r="CC130" s="465"/>
      <c r="CD130" s="465"/>
      <c r="CE130" s="465"/>
      <c r="CF130" s="465"/>
      <c r="CG130" s="465"/>
      <c r="CH130" s="465"/>
      <c r="CI130" s="465"/>
      <c r="CJ130" s="465"/>
      <c r="CK130" s="465"/>
      <c r="CL130" s="465"/>
      <c r="CM130" s="466"/>
      <c r="CN130" s="198"/>
      <c r="CO130" s="198"/>
      <c r="CP130" s="198"/>
      <c r="CQ130" s="98"/>
    </row>
    <row r="131" spans="1:95" s="57" customFormat="1" ht="87.75" customHeight="1">
      <c r="A131" s="80" t="s">
        <v>72</v>
      </c>
      <c r="B131" s="79">
        <v>2140</v>
      </c>
      <c r="C131" s="79">
        <v>119</v>
      </c>
      <c r="D131" s="76"/>
      <c r="E131" s="81">
        <f>E132</f>
        <v>2337.59</v>
      </c>
      <c r="F131" s="166">
        <f t="shared" ref="F131" si="43">F132</f>
        <v>14483.51</v>
      </c>
      <c r="G131" s="81">
        <f t="shared" ref="G131" si="44">G132</f>
        <v>49751.33</v>
      </c>
      <c r="H131" s="81">
        <f t="shared" ref="H131" si="45">H132</f>
        <v>38092.32</v>
      </c>
      <c r="I131" s="81">
        <f t="shared" ref="I131" si="46">I132</f>
        <v>38092.32</v>
      </c>
      <c r="J131" s="81">
        <f>I131</f>
        <v>38092.32</v>
      </c>
      <c r="K131" s="172" t="s">
        <v>60</v>
      </c>
      <c r="M131" s="196"/>
      <c r="N131" s="197"/>
      <c r="O131" s="197"/>
      <c r="P131" s="197"/>
      <c r="Q131" s="197"/>
      <c r="R131" s="197"/>
      <c r="S131" s="197"/>
      <c r="T131" s="464"/>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6"/>
      <c r="AR131" s="464"/>
      <c r="AS131" s="465"/>
      <c r="AT131" s="465"/>
      <c r="AU131" s="465"/>
      <c r="AV131" s="465"/>
      <c r="AW131" s="465"/>
      <c r="AX131" s="465"/>
      <c r="AY131" s="465"/>
      <c r="AZ131" s="465"/>
      <c r="BA131" s="465"/>
      <c r="BB131" s="465"/>
      <c r="BC131" s="465"/>
      <c r="BD131" s="465"/>
      <c r="BE131" s="465"/>
      <c r="BF131" s="465"/>
      <c r="BG131" s="465"/>
      <c r="BH131" s="465"/>
      <c r="BI131" s="465"/>
      <c r="BJ131" s="465"/>
      <c r="BK131" s="465"/>
      <c r="BL131" s="465"/>
      <c r="BM131" s="465"/>
      <c r="BN131" s="465"/>
      <c r="BO131" s="466"/>
      <c r="BP131" s="464"/>
      <c r="BQ131" s="465"/>
      <c r="BR131" s="465"/>
      <c r="BS131" s="465"/>
      <c r="BT131" s="465"/>
      <c r="BU131" s="465"/>
      <c r="BV131" s="465"/>
      <c r="BW131" s="465"/>
      <c r="BX131" s="465"/>
      <c r="BY131" s="465"/>
      <c r="BZ131" s="465"/>
      <c r="CA131" s="465"/>
      <c r="CB131" s="465"/>
      <c r="CC131" s="465"/>
      <c r="CD131" s="465"/>
      <c r="CE131" s="465"/>
      <c r="CF131" s="465"/>
      <c r="CG131" s="465"/>
      <c r="CH131" s="465"/>
      <c r="CI131" s="465"/>
      <c r="CJ131" s="465"/>
      <c r="CK131" s="465"/>
      <c r="CL131" s="465"/>
      <c r="CM131" s="466"/>
      <c r="CN131" s="198"/>
      <c r="CO131" s="198"/>
      <c r="CP131" s="198"/>
      <c r="CQ131" s="98"/>
    </row>
    <row r="132" spans="1:95" s="67" customFormat="1" ht="30" customHeight="1">
      <c r="A132" s="416" t="s">
        <v>101</v>
      </c>
      <c r="B132" s="420">
        <v>2141</v>
      </c>
      <c r="C132" s="420">
        <v>119</v>
      </c>
      <c r="D132" s="420"/>
      <c r="E132" s="414">
        <f>E134</f>
        <v>2337.59</v>
      </c>
      <c r="F132" s="421">
        <f t="shared" ref="F132:I132" si="47">F134</f>
        <v>14483.51</v>
      </c>
      <c r="G132" s="414">
        <f t="shared" si="47"/>
        <v>49751.33</v>
      </c>
      <c r="H132" s="414">
        <f t="shared" si="47"/>
        <v>38092.32</v>
      </c>
      <c r="I132" s="414">
        <f t="shared" si="47"/>
        <v>38092.32</v>
      </c>
      <c r="J132" s="414">
        <f>I132</f>
        <v>38092.32</v>
      </c>
      <c r="K132" s="414" t="s">
        <v>60</v>
      </c>
      <c r="M132" s="196"/>
      <c r="N132" s="197"/>
      <c r="O132" s="197"/>
      <c r="P132" s="197"/>
      <c r="Q132" s="197"/>
      <c r="R132" s="197"/>
      <c r="S132" s="197"/>
      <c r="T132" s="464"/>
      <c r="U132" s="465"/>
      <c r="V132" s="465"/>
      <c r="W132" s="465"/>
      <c r="X132" s="465"/>
      <c r="Y132" s="465"/>
      <c r="Z132" s="465"/>
      <c r="AA132" s="465"/>
      <c r="AB132" s="465"/>
      <c r="AC132" s="465"/>
      <c r="AD132" s="465"/>
      <c r="AE132" s="465"/>
      <c r="AF132" s="465"/>
      <c r="AG132" s="465"/>
      <c r="AH132" s="465"/>
      <c r="AI132" s="465"/>
      <c r="AJ132" s="465"/>
      <c r="AK132" s="465"/>
      <c r="AL132" s="465"/>
      <c r="AM132" s="465"/>
      <c r="AN132" s="465"/>
      <c r="AO132" s="465"/>
      <c r="AP132" s="465"/>
      <c r="AQ132" s="466"/>
      <c r="AR132" s="464"/>
      <c r="AS132" s="465"/>
      <c r="AT132" s="465"/>
      <c r="AU132" s="465"/>
      <c r="AV132" s="465"/>
      <c r="AW132" s="465"/>
      <c r="AX132" s="465"/>
      <c r="AY132" s="465"/>
      <c r="AZ132" s="465"/>
      <c r="BA132" s="465"/>
      <c r="BB132" s="465"/>
      <c r="BC132" s="465"/>
      <c r="BD132" s="465"/>
      <c r="BE132" s="465"/>
      <c r="BF132" s="465"/>
      <c r="BG132" s="465"/>
      <c r="BH132" s="465"/>
      <c r="BI132" s="465"/>
      <c r="BJ132" s="465"/>
      <c r="BK132" s="465"/>
      <c r="BL132" s="465"/>
      <c r="BM132" s="465"/>
      <c r="BN132" s="465"/>
      <c r="BO132" s="466"/>
      <c r="BP132" s="464"/>
      <c r="BQ132" s="465"/>
      <c r="BR132" s="465"/>
      <c r="BS132" s="465"/>
      <c r="BT132" s="465"/>
      <c r="BU132" s="465"/>
      <c r="BV132" s="465"/>
      <c r="BW132" s="465"/>
      <c r="BX132" s="465"/>
      <c r="BY132" s="465"/>
      <c r="BZ132" s="465"/>
      <c r="CA132" s="465"/>
      <c r="CB132" s="465"/>
      <c r="CC132" s="465"/>
      <c r="CD132" s="465"/>
      <c r="CE132" s="465"/>
      <c r="CF132" s="465"/>
      <c r="CG132" s="465"/>
      <c r="CH132" s="465"/>
      <c r="CI132" s="465"/>
      <c r="CJ132" s="465"/>
      <c r="CK132" s="465"/>
      <c r="CL132" s="465"/>
      <c r="CM132" s="466"/>
      <c r="CN132" s="198"/>
      <c r="CO132" s="198"/>
      <c r="CP132" s="198"/>
      <c r="CQ132" s="98"/>
    </row>
    <row r="133" spans="1:95" s="67" customFormat="1" ht="15.75" customHeight="1">
      <c r="A133" s="416"/>
      <c r="B133" s="420"/>
      <c r="C133" s="420"/>
      <c r="D133" s="420"/>
      <c r="E133" s="414"/>
      <c r="F133" s="421"/>
      <c r="G133" s="414"/>
      <c r="H133" s="414"/>
      <c r="I133" s="414"/>
      <c r="J133" s="414"/>
      <c r="K133" s="414"/>
      <c r="M133" s="196"/>
      <c r="N133" s="197"/>
      <c r="O133" s="197"/>
      <c r="P133" s="197"/>
      <c r="Q133" s="197"/>
      <c r="R133" s="197"/>
      <c r="S133" s="197"/>
      <c r="T133" s="464"/>
      <c r="U133" s="465"/>
      <c r="V133" s="465"/>
      <c r="W133" s="465"/>
      <c r="X133" s="465"/>
      <c r="Y133" s="465"/>
      <c r="Z133" s="465"/>
      <c r="AA133" s="465"/>
      <c r="AB133" s="465"/>
      <c r="AC133" s="465"/>
      <c r="AD133" s="465"/>
      <c r="AE133" s="465"/>
      <c r="AF133" s="465"/>
      <c r="AG133" s="465"/>
      <c r="AH133" s="465"/>
      <c r="AI133" s="465"/>
      <c r="AJ133" s="465"/>
      <c r="AK133" s="465"/>
      <c r="AL133" s="465"/>
      <c r="AM133" s="465"/>
      <c r="AN133" s="465"/>
      <c r="AO133" s="465"/>
      <c r="AP133" s="465"/>
      <c r="AQ133" s="466"/>
      <c r="AR133" s="464"/>
      <c r="AS133" s="465"/>
      <c r="AT133" s="465"/>
      <c r="AU133" s="465"/>
      <c r="AV133" s="465"/>
      <c r="AW133" s="465"/>
      <c r="AX133" s="465"/>
      <c r="AY133" s="465"/>
      <c r="AZ133" s="465"/>
      <c r="BA133" s="465"/>
      <c r="BB133" s="465"/>
      <c r="BC133" s="465"/>
      <c r="BD133" s="465"/>
      <c r="BE133" s="465"/>
      <c r="BF133" s="465"/>
      <c r="BG133" s="465"/>
      <c r="BH133" s="465"/>
      <c r="BI133" s="465"/>
      <c r="BJ133" s="465"/>
      <c r="BK133" s="465"/>
      <c r="BL133" s="465"/>
      <c r="BM133" s="465"/>
      <c r="BN133" s="465"/>
      <c r="BO133" s="466"/>
      <c r="BP133" s="464"/>
      <c r="BQ133" s="465"/>
      <c r="BR133" s="465"/>
      <c r="BS133" s="465"/>
      <c r="BT133" s="465"/>
      <c r="BU133" s="465"/>
      <c r="BV133" s="465"/>
      <c r="BW133" s="465"/>
      <c r="BX133" s="465"/>
      <c r="BY133" s="465"/>
      <c r="BZ133" s="465"/>
      <c r="CA133" s="465"/>
      <c r="CB133" s="465"/>
      <c r="CC133" s="465"/>
      <c r="CD133" s="465"/>
      <c r="CE133" s="465"/>
      <c r="CF133" s="465"/>
      <c r="CG133" s="465"/>
      <c r="CH133" s="465"/>
      <c r="CI133" s="465"/>
      <c r="CJ133" s="465"/>
      <c r="CK133" s="465"/>
      <c r="CL133" s="465"/>
      <c r="CM133" s="466"/>
      <c r="CN133" s="198"/>
      <c r="CO133" s="198"/>
      <c r="CP133" s="198"/>
      <c r="CQ133" s="98"/>
    </row>
    <row r="134" spans="1:95" s="107" customFormat="1" ht="18" customHeight="1">
      <c r="A134" s="131" t="s">
        <v>191</v>
      </c>
      <c r="B134" s="104"/>
      <c r="C134" s="105" t="s">
        <v>266</v>
      </c>
      <c r="D134" s="104">
        <v>213</v>
      </c>
      <c r="E134" s="106">
        <v>2337.59</v>
      </c>
      <c r="F134" s="114">
        <v>14483.51</v>
      </c>
      <c r="G134" s="113">
        <v>49751.33</v>
      </c>
      <c r="H134" s="114">
        <v>38092.32</v>
      </c>
      <c r="I134" s="114">
        <v>38092.32</v>
      </c>
      <c r="J134" s="114">
        <f>I134</f>
        <v>38092.32</v>
      </c>
      <c r="K134" s="104" t="s">
        <v>3</v>
      </c>
      <c r="L134" s="110"/>
      <c r="M134" s="196"/>
      <c r="N134" s="197"/>
      <c r="O134" s="197"/>
      <c r="P134" s="197"/>
      <c r="Q134" s="197"/>
      <c r="R134" s="197"/>
      <c r="S134" s="197"/>
      <c r="T134" s="464"/>
      <c r="U134" s="465"/>
      <c r="V134" s="465"/>
      <c r="W134" s="465"/>
      <c r="X134" s="465"/>
      <c r="Y134" s="465"/>
      <c r="Z134" s="465"/>
      <c r="AA134" s="465"/>
      <c r="AB134" s="465"/>
      <c r="AC134" s="465"/>
      <c r="AD134" s="465"/>
      <c r="AE134" s="465"/>
      <c r="AF134" s="465"/>
      <c r="AG134" s="465"/>
      <c r="AH134" s="465"/>
      <c r="AI134" s="465"/>
      <c r="AJ134" s="465"/>
      <c r="AK134" s="465"/>
      <c r="AL134" s="465"/>
      <c r="AM134" s="465"/>
      <c r="AN134" s="465"/>
      <c r="AO134" s="465"/>
      <c r="AP134" s="465"/>
      <c r="AQ134" s="466"/>
      <c r="AR134" s="464"/>
      <c r="AS134" s="465"/>
      <c r="AT134" s="465"/>
      <c r="AU134" s="465"/>
      <c r="AV134" s="465"/>
      <c r="AW134" s="465"/>
      <c r="AX134" s="465"/>
      <c r="AY134" s="465"/>
      <c r="AZ134" s="465"/>
      <c r="BA134" s="465"/>
      <c r="BB134" s="465"/>
      <c r="BC134" s="465"/>
      <c r="BD134" s="465"/>
      <c r="BE134" s="465"/>
      <c r="BF134" s="465"/>
      <c r="BG134" s="465"/>
      <c r="BH134" s="465"/>
      <c r="BI134" s="465"/>
      <c r="BJ134" s="465"/>
      <c r="BK134" s="465"/>
      <c r="BL134" s="465"/>
      <c r="BM134" s="465"/>
      <c r="BN134" s="465"/>
      <c r="BO134" s="466"/>
      <c r="BP134" s="464"/>
      <c r="BQ134" s="465"/>
      <c r="BR134" s="465"/>
      <c r="BS134" s="465"/>
      <c r="BT134" s="465"/>
      <c r="BU134" s="465"/>
      <c r="BV134" s="465"/>
      <c r="BW134" s="465"/>
      <c r="BX134" s="465"/>
      <c r="BY134" s="465"/>
      <c r="BZ134" s="465"/>
      <c r="CA134" s="465"/>
      <c r="CB134" s="465"/>
      <c r="CC134" s="465"/>
      <c r="CD134" s="465"/>
      <c r="CE134" s="465"/>
      <c r="CF134" s="465"/>
      <c r="CG134" s="465"/>
      <c r="CH134" s="465"/>
      <c r="CI134" s="465"/>
      <c r="CJ134" s="465"/>
      <c r="CK134" s="465"/>
      <c r="CL134" s="465"/>
      <c r="CM134" s="466"/>
      <c r="CN134" s="198"/>
      <c r="CO134" s="198"/>
      <c r="CP134" s="198"/>
      <c r="CQ134" s="98"/>
    </row>
    <row r="135" spans="1:95" s="516" customFormat="1" ht="30" customHeight="1">
      <c r="A135" s="505" t="s">
        <v>176</v>
      </c>
      <c r="B135" s="506" t="s">
        <v>268</v>
      </c>
      <c r="C135" s="506"/>
      <c r="D135" s="506"/>
      <c r="E135" s="507">
        <f>E136</f>
        <v>714730.98</v>
      </c>
      <c r="F135" s="507">
        <f t="shared" ref="F135" si="48">F136</f>
        <v>688386.3</v>
      </c>
      <c r="G135" s="507">
        <f t="shared" ref="G135" si="49">G136</f>
        <v>600000</v>
      </c>
      <c r="H135" s="507">
        <f t="shared" ref="H135" si="50">H136</f>
        <v>600000</v>
      </c>
      <c r="I135" s="507">
        <f t="shared" ref="I135" si="51">I136</f>
        <v>600000</v>
      </c>
      <c r="J135" s="507">
        <f>I135</f>
        <v>600000</v>
      </c>
      <c r="K135" s="507">
        <f>J135</f>
        <v>600000</v>
      </c>
      <c r="L135" s="508"/>
      <c r="M135" s="509"/>
      <c r="N135" s="510"/>
      <c r="O135" s="510"/>
      <c r="P135" s="510"/>
      <c r="Q135" s="510"/>
      <c r="R135" s="510"/>
      <c r="S135" s="510"/>
      <c r="T135" s="511"/>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c r="AQ135" s="513"/>
      <c r="AR135" s="511"/>
      <c r="AS135" s="512"/>
      <c r="AT135" s="512"/>
      <c r="AU135" s="512"/>
      <c r="AV135" s="512"/>
      <c r="AW135" s="512"/>
      <c r="AX135" s="512"/>
      <c r="AY135" s="512"/>
      <c r="AZ135" s="512"/>
      <c r="BA135" s="512"/>
      <c r="BB135" s="512"/>
      <c r="BC135" s="512"/>
      <c r="BD135" s="512"/>
      <c r="BE135" s="512"/>
      <c r="BF135" s="512"/>
      <c r="BG135" s="512"/>
      <c r="BH135" s="512"/>
      <c r="BI135" s="512"/>
      <c r="BJ135" s="512"/>
      <c r="BK135" s="512"/>
      <c r="BL135" s="512"/>
      <c r="BM135" s="512"/>
      <c r="BN135" s="512"/>
      <c r="BO135" s="513"/>
      <c r="BP135" s="511"/>
      <c r="BQ135" s="512"/>
      <c r="BR135" s="512"/>
      <c r="BS135" s="512"/>
      <c r="BT135" s="512"/>
      <c r="BU135" s="512"/>
      <c r="BV135" s="512"/>
      <c r="BW135" s="512"/>
      <c r="BX135" s="512"/>
      <c r="BY135" s="512"/>
      <c r="BZ135" s="512"/>
      <c r="CA135" s="512"/>
      <c r="CB135" s="512"/>
      <c r="CC135" s="512"/>
      <c r="CD135" s="512"/>
      <c r="CE135" s="512"/>
      <c r="CF135" s="512"/>
      <c r="CG135" s="512"/>
      <c r="CH135" s="512"/>
      <c r="CI135" s="512"/>
      <c r="CJ135" s="512"/>
      <c r="CK135" s="512"/>
      <c r="CL135" s="512"/>
      <c r="CM135" s="513"/>
      <c r="CN135" s="514"/>
      <c r="CO135" s="514"/>
      <c r="CP135" s="514"/>
      <c r="CQ135" s="515"/>
    </row>
    <row r="136" spans="1:95" s="57" customFormat="1" ht="26.25" customHeight="1">
      <c r="A136" s="422" t="s">
        <v>99</v>
      </c>
      <c r="B136" s="423">
        <v>2100</v>
      </c>
      <c r="C136" s="423" t="s">
        <v>60</v>
      </c>
      <c r="D136" s="420"/>
      <c r="E136" s="412">
        <f>E138</f>
        <v>714730.98</v>
      </c>
      <c r="F136" s="413">
        <f t="shared" ref="F136:I136" si="52">F138</f>
        <v>688386.3</v>
      </c>
      <c r="G136" s="412">
        <f t="shared" si="52"/>
        <v>600000</v>
      </c>
      <c r="H136" s="412">
        <f t="shared" si="52"/>
        <v>600000</v>
      </c>
      <c r="I136" s="412">
        <f t="shared" si="52"/>
        <v>600000</v>
      </c>
      <c r="J136" s="412">
        <f>I136</f>
        <v>600000</v>
      </c>
      <c r="K136" s="412" t="s">
        <v>60</v>
      </c>
      <c r="M136" s="196"/>
      <c r="N136" s="197"/>
      <c r="O136" s="197"/>
      <c r="P136" s="197"/>
      <c r="Q136" s="197"/>
      <c r="R136" s="197"/>
      <c r="S136" s="197"/>
      <c r="T136" s="464"/>
      <c r="U136" s="465"/>
      <c r="V136" s="465"/>
      <c r="W136" s="465"/>
      <c r="X136" s="465"/>
      <c r="Y136" s="465"/>
      <c r="Z136" s="465"/>
      <c r="AA136" s="465"/>
      <c r="AB136" s="465"/>
      <c r="AC136" s="465"/>
      <c r="AD136" s="465"/>
      <c r="AE136" s="465"/>
      <c r="AF136" s="465"/>
      <c r="AG136" s="465"/>
      <c r="AH136" s="465"/>
      <c r="AI136" s="465"/>
      <c r="AJ136" s="465"/>
      <c r="AK136" s="465"/>
      <c r="AL136" s="465"/>
      <c r="AM136" s="465"/>
      <c r="AN136" s="465"/>
      <c r="AO136" s="465"/>
      <c r="AP136" s="465"/>
      <c r="AQ136" s="466"/>
      <c r="AR136" s="464"/>
      <c r="AS136" s="465"/>
      <c r="AT136" s="465"/>
      <c r="AU136" s="465"/>
      <c r="AV136" s="465"/>
      <c r="AW136" s="465"/>
      <c r="AX136" s="465"/>
      <c r="AY136" s="465"/>
      <c r="AZ136" s="465"/>
      <c r="BA136" s="465"/>
      <c r="BB136" s="465"/>
      <c r="BC136" s="465"/>
      <c r="BD136" s="465"/>
      <c r="BE136" s="465"/>
      <c r="BF136" s="465"/>
      <c r="BG136" s="465"/>
      <c r="BH136" s="465"/>
      <c r="BI136" s="465"/>
      <c r="BJ136" s="465"/>
      <c r="BK136" s="465"/>
      <c r="BL136" s="465"/>
      <c r="BM136" s="465"/>
      <c r="BN136" s="465"/>
      <c r="BO136" s="466"/>
      <c r="BP136" s="464"/>
      <c r="BQ136" s="465"/>
      <c r="BR136" s="465"/>
      <c r="BS136" s="465"/>
      <c r="BT136" s="465"/>
      <c r="BU136" s="465"/>
      <c r="BV136" s="465"/>
      <c r="BW136" s="465"/>
      <c r="BX136" s="465"/>
      <c r="BY136" s="465"/>
      <c r="BZ136" s="465"/>
      <c r="CA136" s="465"/>
      <c r="CB136" s="465"/>
      <c r="CC136" s="465"/>
      <c r="CD136" s="465"/>
      <c r="CE136" s="465"/>
      <c r="CF136" s="465"/>
      <c r="CG136" s="465"/>
      <c r="CH136" s="465"/>
      <c r="CI136" s="465"/>
      <c r="CJ136" s="465"/>
      <c r="CK136" s="465"/>
      <c r="CL136" s="465"/>
      <c r="CM136" s="466"/>
      <c r="CN136" s="198"/>
      <c r="CO136" s="198"/>
      <c r="CP136" s="198"/>
      <c r="CQ136" s="98"/>
    </row>
    <row r="137" spans="1:95" s="57" customFormat="1" ht="25.5" customHeight="1">
      <c r="A137" s="422"/>
      <c r="B137" s="423"/>
      <c r="C137" s="423"/>
      <c r="D137" s="420"/>
      <c r="E137" s="412"/>
      <c r="F137" s="413"/>
      <c r="G137" s="412"/>
      <c r="H137" s="412"/>
      <c r="I137" s="412"/>
      <c r="J137" s="412"/>
      <c r="K137" s="412"/>
      <c r="M137" s="196"/>
      <c r="N137" s="197"/>
      <c r="O137" s="197"/>
      <c r="P137" s="197"/>
      <c r="Q137" s="197"/>
      <c r="R137" s="197"/>
      <c r="S137" s="197"/>
      <c r="T137" s="464"/>
      <c r="U137" s="465"/>
      <c r="V137" s="465"/>
      <c r="W137" s="465"/>
      <c r="X137" s="465"/>
      <c r="Y137" s="465"/>
      <c r="Z137" s="465"/>
      <c r="AA137" s="465"/>
      <c r="AB137" s="465"/>
      <c r="AC137" s="465"/>
      <c r="AD137" s="465"/>
      <c r="AE137" s="465"/>
      <c r="AF137" s="465"/>
      <c r="AG137" s="465"/>
      <c r="AH137" s="465"/>
      <c r="AI137" s="465"/>
      <c r="AJ137" s="465"/>
      <c r="AK137" s="465"/>
      <c r="AL137" s="465"/>
      <c r="AM137" s="465"/>
      <c r="AN137" s="465"/>
      <c r="AO137" s="465"/>
      <c r="AP137" s="465"/>
      <c r="AQ137" s="466"/>
      <c r="AR137" s="464"/>
      <c r="AS137" s="465"/>
      <c r="AT137" s="465"/>
      <c r="AU137" s="465"/>
      <c r="AV137" s="465"/>
      <c r="AW137" s="465"/>
      <c r="AX137" s="465"/>
      <c r="AY137" s="465"/>
      <c r="AZ137" s="465"/>
      <c r="BA137" s="465"/>
      <c r="BB137" s="465"/>
      <c r="BC137" s="465"/>
      <c r="BD137" s="465"/>
      <c r="BE137" s="465"/>
      <c r="BF137" s="465"/>
      <c r="BG137" s="465"/>
      <c r="BH137" s="465"/>
      <c r="BI137" s="465"/>
      <c r="BJ137" s="465"/>
      <c r="BK137" s="465"/>
      <c r="BL137" s="465"/>
      <c r="BM137" s="465"/>
      <c r="BN137" s="465"/>
      <c r="BO137" s="466"/>
      <c r="BP137" s="464"/>
      <c r="BQ137" s="465"/>
      <c r="BR137" s="465"/>
      <c r="BS137" s="465"/>
      <c r="BT137" s="465"/>
      <c r="BU137" s="465"/>
      <c r="BV137" s="465"/>
      <c r="BW137" s="465"/>
      <c r="BX137" s="465"/>
      <c r="BY137" s="465"/>
      <c r="BZ137" s="465"/>
      <c r="CA137" s="465"/>
      <c r="CB137" s="465"/>
      <c r="CC137" s="465"/>
      <c r="CD137" s="465"/>
      <c r="CE137" s="465"/>
      <c r="CF137" s="465"/>
      <c r="CG137" s="465"/>
      <c r="CH137" s="465"/>
      <c r="CI137" s="465"/>
      <c r="CJ137" s="465"/>
      <c r="CK137" s="465"/>
      <c r="CL137" s="465"/>
      <c r="CM137" s="466"/>
      <c r="CN137" s="198"/>
      <c r="CO137" s="198"/>
      <c r="CP137" s="198"/>
      <c r="CQ137" s="98"/>
    </row>
    <row r="138" spans="1:95" s="57" customFormat="1" ht="50.25" customHeight="1">
      <c r="A138" s="80" t="s">
        <v>71</v>
      </c>
      <c r="B138" s="79">
        <v>2120</v>
      </c>
      <c r="C138" s="79">
        <v>112</v>
      </c>
      <c r="D138" s="76"/>
      <c r="E138" s="81">
        <f>SUM(E139:E139)</f>
        <v>714730.98</v>
      </c>
      <c r="F138" s="166">
        <f>SUM(F139:F139)</f>
        <v>688386.3</v>
      </c>
      <c r="G138" s="81">
        <f>SUM(G139:G139)</f>
        <v>600000</v>
      </c>
      <c r="H138" s="81">
        <f>SUM(H139:H139)</f>
        <v>600000</v>
      </c>
      <c r="I138" s="81">
        <f>SUM(I139:I139)</f>
        <v>600000</v>
      </c>
      <c r="J138" s="81">
        <f>I138</f>
        <v>600000</v>
      </c>
      <c r="K138" s="172" t="s">
        <v>60</v>
      </c>
      <c r="L138" s="111"/>
      <c r="M138" s="196"/>
      <c r="N138" s="197"/>
      <c r="O138" s="197"/>
      <c r="P138" s="197"/>
      <c r="Q138" s="197"/>
      <c r="R138" s="197"/>
      <c r="S138" s="197"/>
      <c r="T138" s="464"/>
      <c r="U138" s="465"/>
      <c r="V138" s="465"/>
      <c r="W138" s="465"/>
      <c r="X138" s="465"/>
      <c r="Y138" s="465"/>
      <c r="Z138" s="465"/>
      <c r="AA138" s="465"/>
      <c r="AB138" s="465"/>
      <c r="AC138" s="465"/>
      <c r="AD138" s="465"/>
      <c r="AE138" s="465"/>
      <c r="AF138" s="465"/>
      <c r="AG138" s="465"/>
      <c r="AH138" s="465"/>
      <c r="AI138" s="465"/>
      <c r="AJ138" s="465"/>
      <c r="AK138" s="465"/>
      <c r="AL138" s="465"/>
      <c r="AM138" s="465"/>
      <c r="AN138" s="465"/>
      <c r="AO138" s="465"/>
      <c r="AP138" s="465"/>
      <c r="AQ138" s="466"/>
      <c r="AR138" s="464"/>
      <c r="AS138" s="465"/>
      <c r="AT138" s="465"/>
      <c r="AU138" s="465"/>
      <c r="AV138" s="465"/>
      <c r="AW138" s="465"/>
      <c r="AX138" s="465"/>
      <c r="AY138" s="465"/>
      <c r="AZ138" s="465"/>
      <c r="BA138" s="465"/>
      <c r="BB138" s="465"/>
      <c r="BC138" s="465"/>
      <c r="BD138" s="465"/>
      <c r="BE138" s="465"/>
      <c r="BF138" s="465"/>
      <c r="BG138" s="465"/>
      <c r="BH138" s="465"/>
      <c r="BI138" s="465"/>
      <c r="BJ138" s="465"/>
      <c r="BK138" s="465"/>
      <c r="BL138" s="465"/>
      <c r="BM138" s="465"/>
      <c r="BN138" s="465"/>
      <c r="BO138" s="466"/>
      <c r="BP138" s="464"/>
      <c r="BQ138" s="465"/>
      <c r="BR138" s="465"/>
      <c r="BS138" s="465"/>
      <c r="BT138" s="465"/>
      <c r="BU138" s="465"/>
      <c r="BV138" s="465"/>
      <c r="BW138" s="465"/>
      <c r="BX138" s="465"/>
      <c r="BY138" s="465"/>
      <c r="BZ138" s="465"/>
      <c r="CA138" s="465"/>
      <c r="CB138" s="465"/>
      <c r="CC138" s="465"/>
      <c r="CD138" s="465"/>
      <c r="CE138" s="465"/>
      <c r="CF138" s="465"/>
      <c r="CG138" s="465"/>
      <c r="CH138" s="465"/>
      <c r="CI138" s="465"/>
      <c r="CJ138" s="465"/>
      <c r="CK138" s="465"/>
      <c r="CL138" s="465"/>
      <c r="CM138" s="466"/>
      <c r="CN138" s="198"/>
      <c r="CO138" s="198"/>
      <c r="CP138" s="198"/>
      <c r="CQ138" s="98"/>
    </row>
    <row r="139" spans="1:95" s="107" customFormat="1" ht="35.25" customHeight="1">
      <c r="A139" s="131" t="s">
        <v>207</v>
      </c>
      <c r="B139" s="104"/>
      <c r="C139" s="105" t="s">
        <v>264</v>
      </c>
      <c r="D139" s="104">
        <v>214</v>
      </c>
      <c r="E139" s="112">
        <v>714730.98</v>
      </c>
      <c r="F139" s="112">
        <v>688386.3</v>
      </c>
      <c r="G139" s="113">
        <v>600000</v>
      </c>
      <c r="H139" s="114">
        <v>600000</v>
      </c>
      <c r="I139" s="114">
        <v>600000</v>
      </c>
      <c r="J139" s="114">
        <f>I139</f>
        <v>600000</v>
      </c>
      <c r="K139" s="104" t="s">
        <v>3</v>
      </c>
      <c r="L139" s="110"/>
      <c r="M139" s="196"/>
      <c r="N139" s="197"/>
      <c r="O139" s="197"/>
      <c r="P139" s="197"/>
      <c r="Q139" s="197"/>
      <c r="R139" s="197"/>
      <c r="S139" s="197"/>
      <c r="T139" s="464"/>
      <c r="U139" s="465"/>
      <c r="V139" s="465"/>
      <c r="W139" s="465"/>
      <c r="X139" s="465"/>
      <c r="Y139" s="465"/>
      <c r="Z139" s="465"/>
      <c r="AA139" s="465"/>
      <c r="AB139" s="465"/>
      <c r="AC139" s="465"/>
      <c r="AD139" s="465"/>
      <c r="AE139" s="465"/>
      <c r="AF139" s="465"/>
      <c r="AG139" s="465"/>
      <c r="AH139" s="465"/>
      <c r="AI139" s="465"/>
      <c r="AJ139" s="465"/>
      <c r="AK139" s="465"/>
      <c r="AL139" s="465"/>
      <c r="AM139" s="465"/>
      <c r="AN139" s="465"/>
      <c r="AO139" s="465"/>
      <c r="AP139" s="465"/>
      <c r="AQ139" s="466"/>
      <c r="AR139" s="464"/>
      <c r="AS139" s="465"/>
      <c r="AT139" s="465"/>
      <c r="AU139" s="465"/>
      <c r="AV139" s="465"/>
      <c r="AW139" s="465"/>
      <c r="AX139" s="465"/>
      <c r="AY139" s="465"/>
      <c r="AZ139" s="465"/>
      <c r="BA139" s="465"/>
      <c r="BB139" s="465"/>
      <c r="BC139" s="465"/>
      <c r="BD139" s="465"/>
      <c r="BE139" s="465"/>
      <c r="BF139" s="465"/>
      <c r="BG139" s="465"/>
      <c r="BH139" s="465"/>
      <c r="BI139" s="465"/>
      <c r="BJ139" s="465"/>
      <c r="BK139" s="465"/>
      <c r="BL139" s="465"/>
      <c r="BM139" s="465"/>
      <c r="BN139" s="465"/>
      <c r="BO139" s="466"/>
      <c r="BP139" s="464"/>
      <c r="BQ139" s="465"/>
      <c r="BR139" s="465"/>
      <c r="BS139" s="465"/>
      <c r="BT139" s="465"/>
      <c r="BU139" s="465"/>
      <c r="BV139" s="465"/>
      <c r="BW139" s="465"/>
      <c r="BX139" s="465"/>
      <c r="BY139" s="465"/>
      <c r="BZ139" s="465"/>
      <c r="CA139" s="465"/>
      <c r="CB139" s="465"/>
      <c r="CC139" s="465"/>
      <c r="CD139" s="465"/>
      <c r="CE139" s="465"/>
      <c r="CF139" s="465"/>
      <c r="CG139" s="465"/>
      <c r="CH139" s="465"/>
      <c r="CI139" s="465"/>
      <c r="CJ139" s="465"/>
      <c r="CK139" s="465"/>
      <c r="CL139" s="465"/>
      <c r="CM139" s="466"/>
      <c r="CN139" s="198"/>
      <c r="CO139" s="198"/>
      <c r="CP139" s="198"/>
      <c r="CQ139" s="98"/>
    </row>
    <row r="140" spans="1:95" s="516" customFormat="1" ht="30" customHeight="1">
      <c r="A140" s="505" t="s">
        <v>176</v>
      </c>
      <c r="B140" s="506" t="s">
        <v>269</v>
      </c>
      <c r="C140" s="506"/>
      <c r="D140" s="506"/>
      <c r="E140" s="507">
        <f>E141</f>
        <v>3231116.06</v>
      </c>
      <c r="F140" s="507">
        <f t="shared" ref="F140" si="53">F141</f>
        <v>3521943.5</v>
      </c>
      <c r="G140" s="507">
        <f t="shared" ref="G140" si="54">G141</f>
        <v>4497571.1500000004</v>
      </c>
      <c r="H140" s="507">
        <f t="shared" ref="H140" si="55">H141</f>
        <v>4451660</v>
      </c>
      <c r="I140" s="507">
        <f t="shared" ref="I140:K140" si="56">I141</f>
        <v>4451660</v>
      </c>
      <c r="J140" s="507">
        <f t="shared" si="56"/>
        <v>4451660</v>
      </c>
      <c r="K140" s="507">
        <f t="shared" si="56"/>
        <v>4451660</v>
      </c>
      <c r="L140" s="508"/>
      <c r="M140" s="509"/>
      <c r="N140" s="510"/>
      <c r="O140" s="510"/>
      <c r="P140" s="510"/>
      <c r="Q140" s="510"/>
      <c r="R140" s="510"/>
      <c r="S140" s="510"/>
      <c r="T140" s="511"/>
      <c r="U140" s="512"/>
      <c r="V140" s="512"/>
      <c r="W140" s="512"/>
      <c r="X140" s="512"/>
      <c r="Y140" s="512"/>
      <c r="Z140" s="512"/>
      <c r="AA140" s="512"/>
      <c r="AB140" s="512"/>
      <c r="AC140" s="512"/>
      <c r="AD140" s="512"/>
      <c r="AE140" s="512"/>
      <c r="AF140" s="512"/>
      <c r="AG140" s="512"/>
      <c r="AH140" s="512"/>
      <c r="AI140" s="512"/>
      <c r="AJ140" s="512"/>
      <c r="AK140" s="512"/>
      <c r="AL140" s="512"/>
      <c r="AM140" s="512"/>
      <c r="AN140" s="512"/>
      <c r="AO140" s="512"/>
      <c r="AP140" s="512"/>
      <c r="AQ140" s="513"/>
      <c r="AR140" s="511"/>
      <c r="AS140" s="512"/>
      <c r="AT140" s="512"/>
      <c r="AU140" s="512"/>
      <c r="AV140" s="512"/>
      <c r="AW140" s="512"/>
      <c r="AX140" s="512"/>
      <c r="AY140" s="512"/>
      <c r="AZ140" s="512"/>
      <c r="BA140" s="512"/>
      <c r="BB140" s="512"/>
      <c r="BC140" s="512"/>
      <c r="BD140" s="512"/>
      <c r="BE140" s="512"/>
      <c r="BF140" s="512"/>
      <c r="BG140" s="512"/>
      <c r="BH140" s="512"/>
      <c r="BI140" s="512"/>
      <c r="BJ140" s="512"/>
      <c r="BK140" s="512"/>
      <c r="BL140" s="512"/>
      <c r="BM140" s="512"/>
      <c r="BN140" s="512"/>
      <c r="BO140" s="513"/>
      <c r="BP140" s="511"/>
      <c r="BQ140" s="512"/>
      <c r="BR140" s="512"/>
      <c r="BS140" s="512"/>
      <c r="BT140" s="512"/>
      <c r="BU140" s="512"/>
      <c r="BV140" s="512"/>
      <c r="BW140" s="512"/>
      <c r="BX140" s="512"/>
      <c r="BY140" s="512"/>
      <c r="BZ140" s="512"/>
      <c r="CA140" s="512"/>
      <c r="CB140" s="512"/>
      <c r="CC140" s="512"/>
      <c r="CD140" s="512"/>
      <c r="CE140" s="512"/>
      <c r="CF140" s="512"/>
      <c r="CG140" s="512"/>
      <c r="CH140" s="512"/>
      <c r="CI140" s="512"/>
      <c r="CJ140" s="512"/>
      <c r="CK140" s="512"/>
      <c r="CL140" s="512"/>
      <c r="CM140" s="513"/>
      <c r="CN140" s="514"/>
      <c r="CO140" s="514"/>
      <c r="CP140" s="514"/>
      <c r="CQ140" s="515"/>
    </row>
    <row r="141" spans="1:95" s="57" customFormat="1" ht="38.25" customHeight="1">
      <c r="A141" s="59" t="s">
        <v>231</v>
      </c>
      <c r="B141" s="79">
        <v>2600</v>
      </c>
      <c r="C141" s="79" t="s">
        <v>60</v>
      </c>
      <c r="D141" s="76"/>
      <c r="E141" s="81">
        <f>E143</f>
        <v>3231116.06</v>
      </c>
      <c r="F141" s="166">
        <f t="shared" ref="F141" si="57">F143</f>
        <v>3521943.5</v>
      </c>
      <c r="G141" s="81">
        <f>G143+G145</f>
        <v>4497571.1500000004</v>
      </c>
      <c r="H141" s="188">
        <f t="shared" ref="H141:K141" si="58">H143+H145</f>
        <v>4451660</v>
      </c>
      <c r="I141" s="188">
        <f t="shared" si="58"/>
        <v>4451660</v>
      </c>
      <c r="J141" s="188">
        <f t="shared" si="58"/>
        <v>4451660</v>
      </c>
      <c r="K141" s="188">
        <f t="shared" si="58"/>
        <v>4451660</v>
      </c>
      <c r="M141" s="196"/>
      <c r="N141" s="197"/>
      <c r="O141" s="197"/>
      <c r="P141" s="197"/>
      <c r="Q141" s="197"/>
      <c r="R141" s="197"/>
      <c r="S141" s="197"/>
      <c r="T141" s="464"/>
      <c r="U141" s="465"/>
      <c r="V141" s="465"/>
      <c r="W141" s="465"/>
      <c r="X141" s="465"/>
      <c r="Y141" s="465"/>
      <c r="Z141" s="465"/>
      <c r="AA141" s="465"/>
      <c r="AB141" s="465"/>
      <c r="AC141" s="465"/>
      <c r="AD141" s="465"/>
      <c r="AE141" s="465"/>
      <c r="AF141" s="465"/>
      <c r="AG141" s="465"/>
      <c r="AH141" s="465"/>
      <c r="AI141" s="465"/>
      <c r="AJ141" s="465"/>
      <c r="AK141" s="465"/>
      <c r="AL141" s="465"/>
      <c r="AM141" s="465"/>
      <c r="AN141" s="465"/>
      <c r="AO141" s="465"/>
      <c r="AP141" s="465"/>
      <c r="AQ141" s="466"/>
      <c r="AR141" s="464"/>
      <c r="AS141" s="465"/>
      <c r="AT141" s="465"/>
      <c r="AU141" s="465"/>
      <c r="AV141" s="465"/>
      <c r="AW141" s="465"/>
      <c r="AX141" s="465"/>
      <c r="AY141" s="465"/>
      <c r="AZ141" s="465"/>
      <c r="BA141" s="465"/>
      <c r="BB141" s="465"/>
      <c r="BC141" s="465"/>
      <c r="BD141" s="465"/>
      <c r="BE141" s="465"/>
      <c r="BF141" s="465"/>
      <c r="BG141" s="465"/>
      <c r="BH141" s="465"/>
      <c r="BI141" s="465"/>
      <c r="BJ141" s="465"/>
      <c r="BK141" s="465"/>
      <c r="BL141" s="465"/>
      <c r="BM141" s="465"/>
      <c r="BN141" s="465"/>
      <c r="BO141" s="466"/>
      <c r="BP141" s="464"/>
      <c r="BQ141" s="465"/>
      <c r="BR141" s="465"/>
      <c r="BS141" s="465"/>
      <c r="BT141" s="465"/>
      <c r="BU141" s="465"/>
      <c r="BV141" s="465"/>
      <c r="BW141" s="465"/>
      <c r="BX141" s="465"/>
      <c r="BY141" s="465"/>
      <c r="BZ141" s="465"/>
      <c r="CA141" s="465"/>
      <c r="CB141" s="465"/>
      <c r="CC141" s="465"/>
      <c r="CD141" s="465"/>
      <c r="CE141" s="465"/>
      <c r="CF141" s="465"/>
      <c r="CG141" s="465"/>
      <c r="CH141" s="465"/>
      <c r="CI141" s="465"/>
      <c r="CJ141" s="465"/>
      <c r="CK141" s="465"/>
      <c r="CL141" s="465"/>
      <c r="CM141" s="466"/>
      <c r="CN141" s="198"/>
      <c r="CO141" s="198"/>
      <c r="CP141" s="198"/>
      <c r="CQ141" s="98"/>
    </row>
    <row r="142" spans="1:95" s="67" customFormat="1" ht="30" customHeight="1">
      <c r="A142" s="149" t="s">
        <v>230</v>
      </c>
      <c r="B142" s="76"/>
      <c r="C142" s="76"/>
      <c r="D142" s="76"/>
      <c r="E142" s="82"/>
      <c r="F142" s="163"/>
      <c r="G142" s="82"/>
      <c r="H142" s="82"/>
      <c r="I142" s="82"/>
      <c r="J142" s="78"/>
      <c r="K142" s="177"/>
      <c r="M142" s="196"/>
      <c r="N142" s="197"/>
      <c r="O142" s="197"/>
      <c r="P142" s="197"/>
      <c r="Q142" s="197"/>
      <c r="R142" s="197"/>
      <c r="S142" s="197"/>
      <c r="T142" s="464"/>
      <c r="U142" s="465"/>
      <c r="V142" s="465"/>
      <c r="W142" s="465"/>
      <c r="X142" s="465"/>
      <c r="Y142" s="465"/>
      <c r="Z142" s="465"/>
      <c r="AA142" s="465"/>
      <c r="AB142" s="465"/>
      <c r="AC142" s="465"/>
      <c r="AD142" s="465"/>
      <c r="AE142" s="465"/>
      <c r="AF142" s="465"/>
      <c r="AG142" s="465"/>
      <c r="AH142" s="465"/>
      <c r="AI142" s="465"/>
      <c r="AJ142" s="465"/>
      <c r="AK142" s="465"/>
      <c r="AL142" s="465"/>
      <c r="AM142" s="465"/>
      <c r="AN142" s="465"/>
      <c r="AO142" s="465"/>
      <c r="AP142" s="465"/>
      <c r="AQ142" s="466"/>
      <c r="AR142" s="464"/>
      <c r="AS142" s="465"/>
      <c r="AT142" s="465"/>
      <c r="AU142" s="465"/>
      <c r="AV142" s="465"/>
      <c r="AW142" s="465"/>
      <c r="AX142" s="465"/>
      <c r="AY142" s="465"/>
      <c r="AZ142" s="465"/>
      <c r="BA142" s="465"/>
      <c r="BB142" s="465"/>
      <c r="BC142" s="465"/>
      <c r="BD142" s="465"/>
      <c r="BE142" s="465"/>
      <c r="BF142" s="465"/>
      <c r="BG142" s="465"/>
      <c r="BH142" s="465"/>
      <c r="BI142" s="465"/>
      <c r="BJ142" s="465"/>
      <c r="BK142" s="465"/>
      <c r="BL142" s="465"/>
      <c r="BM142" s="465"/>
      <c r="BN142" s="465"/>
      <c r="BO142" s="466"/>
      <c r="BP142" s="464"/>
      <c r="BQ142" s="465"/>
      <c r="BR142" s="465"/>
      <c r="BS142" s="465"/>
      <c r="BT142" s="465"/>
      <c r="BU142" s="465"/>
      <c r="BV142" s="465"/>
      <c r="BW142" s="465"/>
      <c r="BX142" s="465"/>
      <c r="BY142" s="465"/>
      <c r="BZ142" s="465"/>
      <c r="CA142" s="465"/>
      <c r="CB142" s="465"/>
      <c r="CC142" s="465"/>
      <c r="CD142" s="465"/>
      <c r="CE142" s="465"/>
      <c r="CF142" s="465"/>
      <c r="CG142" s="465"/>
      <c r="CH142" s="465"/>
      <c r="CI142" s="465"/>
      <c r="CJ142" s="465"/>
      <c r="CK142" s="465"/>
      <c r="CL142" s="465"/>
      <c r="CM142" s="466"/>
      <c r="CN142" s="198"/>
      <c r="CO142" s="198"/>
      <c r="CP142" s="198"/>
      <c r="CQ142" s="98"/>
    </row>
    <row r="143" spans="1:95" s="57" customFormat="1" ht="32.25" customHeight="1">
      <c r="A143" s="116" t="s">
        <v>259</v>
      </c>
      <c r="B143" s="93">
        <v>2640</v>
      </c>
      <c r="C143" s="93">
        <v>244</v>
      </c>
      <c r="D143" s="93"/>
      <c r="E143" s="94">
        <f>E144</f>
        <v>3231116.06</v>
      </c>
      <c r="F143" s="166">
        <f t="shared" ref="F143:K145" si="59">F144</f>
        <v>3521943.5</v>
      </c>
      <c r="G143" s="94">
        <f t="shared" si="59"/>
        <v>223876.78</v>
      </c>
      <c r="H143" s="94">
        <f t="shared" si="59"/>
        <v>230595.99</v>
      </c>
      <c r="I143" s="94">
        <f t="shared" si="59"/>
        <v>230595.99</v>
      </c>
      <c r="J143" s="94">
        <f t="shared" si="59"/>
        <v>230595.99</v>
      </c>
      <c r="K143" s="176">
        <f t="shared" si="59"/>
        <v>230595.99</v>
      </c>
      <c r="L143" s="111"/>
      <c r="M143" s="196"/>
      <c r="N143" s="197"/>
      <c r="O143" s="197"/>
      <c r="P143" s="197"/>
      <c r="Q143" s="197"/>
      <c r="R143" s="197"/>
      <c r="S143" s="197"/>
      <c r="T143" s="464"/>
      <c r="U143" s="465"/>
      <c r="V143" s="465"/>
      <c r="W143" s="465"/>
      <c r="X143" s="465"/>
      <c r="Y143" s="465"/>
      <c r="Z143" s="465"/>
      <c r="AA143" s="465"/>
      <c r="AB143" s="465"/>
      <c r="AC143" s="465"/>
      <c r="AD143" s="465"/>
      <c r="AE143" s="465"/>
      <c r="AF143" s="465"/>
      <c r="AG143" s="465"/>
      <c r="AH143" s="465"/>
      <c r="AI143" s="465"/>
      <c r="AJ143" s="465"/>
      <c r="AK143" s="465"/>
      <c r="AL143" s="465"/>
      <c r="AM143" s="465"/>
      <c r="AN143" s="465"/>
      <c r="AO143" s="465"/>
      <c r="AP143" s="465"/>
      <c r="AQ143" s="466"/>
      <c r="AR143" s="464"/>
      <c r="AS143" s="465"/>
      <c r="AT143" s="465"/>
      <c r="AU143" s="465"/>
      <c r="AV143" s="465"/>
      <c r="AW143" s="465"/>
      <c r="AX143" s="465"/>
      <c r="AY143" s="465"/>
      <c r="AZ143" s="465"/>
      <c r="BA143" s="465"/>
      <c r="BB143" s="465"/>
      <c r="BC143" s="465"/>
      <c r="BD143" s="465"/>
      <c r="BE143" s="465"/>
      <c r="BF143" s="465"/>
      <c r="BG143" s="465"/>
      <c r="BH143" s="465"/>
      <c r="BI143" s="465"/>
      <c r="BJ143" s="465"/>
      <c r="BK143" s="465"/>
      <c r="BL143" s="465"/>
      <c r="BM143" s="465"/>
      <c r="BN143" s="465"/>
      <c r="BO143" s="466"/>
      <c r="BP143" s="464"/>
      <c r="BQ143" s="465"/>
      <c r="BR143" s="465"/>
      <c r="BS143" s="465"/>
      <c r="BT143" s="465"/>
      <c r="BU143" s="465"/>
      <c r="BV143" s="465"/>
      <c r="BW143" s="465"/>
      <c r="BX143" s="465"/>
      <c r="BY143" s="465"/>
      <c r="BZ143" s="465"/>
      <c r="CA143" s="465"/>
      <c r="CB143" s="465"/>
      <c r="CC143" s="465"/>
      <c r="CD143" s="465"/>
      <c r="CE143" s="465"/>
      <c r="CF143" s="465"/>
      <c r="CG143" s="465"/>
      <c r="CH143" s="465"/>
      <c r="CI143" s="465"/>
      <c r="CJ143" s="465"/>
      <c r="CK143" s="465"/>
      <c r="CL143" s="465"/>
      <c r="CM143" s="466"/>
      <c r="CN143" s="198"/>
      <c r="CO143" s="198"/>
      <c r="CP143" s="198"/>
      <c r="CQ143" s="98"/>
    </row>
    <row r="144" spans="1:95" s="107" customFormat="1" ht="18" customHeight="1">
      <c r="A144" s="132" t="s">
        <v>208</v>
      </c>
      <c r="B144" s="104"/>
      <c r="C144" s="105" t="s">
        <v>265</v>
      </c>
      <c r="D144" s="104">
        <v>223</v>
      </c>
      <c r="E144" s="106">
        <v>3231116.06</v>
      </c>
      <c r="F144" s="114">
        <v>3521943.5</v>
      </c>
      <c r="G144" s="113">
        <v>223876.78</v>
      </c>
      <c r="H144" s="114">
        <v>230595.99</v>
      </c>
      <c r="I144" s="114">
        <v>230595.99</v>
      </c>
      <c r="J144" s="114">
        <f>I144</f>
        <v>230595.99</v>
      </c>
      <c r="K144" s="114">
        <f>J144</f>
        <v>230595.99</v>
      </c>
      <c r="L144" s="110"/>
      <c r="M144" s="196"/>
      <c r="N144" s="197"/>
      <c r="O144" s="197"/>
      <c r="P144" s="197"/>
      <c r="Q144" s="197"/>
      <c r="R144" s="197"/>
      <c r="S144" s="197"/>
      <c r="T144" s="464"/>
      <c r="U144" s="465"/>
      <c r="V144" s="465"/>
      <c r="W144" s="465"/>
      <c r="X144" s="465"/>
      <c r="Y144" s="465"/>
      <c r="Z144" s="465"/>
      <c r="AA144" s="465"/>
      <c r="AB144" s="465"/>
      <c r="AC144" s="465"/>
      <c r="AD144" s="465"/>
      <c r="AE144" s="465"/>
      <c r="AF144" s="465"/>
      <c r="AG144" s="465"/>
      <c r="AH144" s="465"/>
      <c r="AI144" s="465"/>
      <c r="AJ144" s="465"/>
      <c r="AK144" s="465"/>
      <c r="AL144" s="465"/>
      <c r="AM144" s="465"/>
      <c r="AN144" s="465"/>
      <c r="AO144" s="465"/>
      <c r="AP144" s="465"/>
      <c r="AQ144" s="466"/>
      <c r="AR144" s="464"/>
      <c r="AS144" s="465"/>
      <c r="AT144" s="465"/>
      <c r="AU144" s="465"/>
      <c r="AV144" s="465"/>
      <c r="AW144" s="465"/>
      <c r="AX144" s="465"/>
      <c r="AY144" s="465"/>
      <c r="AZ144" s="465"/>
      <c r="BA144" s="465"/>
      <c r="BB144" s="465"/>
      <c r="BC144" s="465"/>
      <c r="BD144" s="465"/>
      <c r="BE144" s="465"/>
      <c r="BF144" s="465"/>
      <c r="BG144" s="465"/>
      <c r="BH144" s="465"/>
      <c r="BI144" s="465"/>
      <c r="BJ144" s="465"/>
      <c r="BK144" s="465"/>
      <c r="BL144" s="465"/>
      <c r="BM144" s="465"/>
      <c r="BN144" s="465"/>
      <c r="BO144" s="466"/>
      <c r="BP144" s="464"/>
      <c r="BQ144" s="465"/>
      <c r="BR144" s="465"/>
      <c r="BS144" s="465"/>
      <c r="BT144" s="465"/>
      <c r="BU144" s="465"/>
      <c r="BV144" s="465"/>
      <c r="BW144" s="465"/>
      <c r="BX144" s="465"/>
      <c r="BY144" s="465"/>
      <c r="BZ144" s="465"/>
      <c r="CA144" s="465"/>
      <c r="CB144" s="465"/>
      <c r="CC144" s="465"/>
      <c r="CD144" s="465"/>
      <c r="CE144" s="465"/>
      <c r="CF144" s="465"/>
      <c r="CG144" s="465"/>
      <c r="CH144" s="465"/>
      <c r="CI144" s="465"/>
      <c r="CJ144" s="465"/>
      <c r="CK144" s="465"/>
      <c r="CL144" s="465"/>
      <c r="CM144" s="466"/>
      <c r="CN144" s="198"/>
      <c r="CO144" s="198"/>
      <c r="CP144" s="198"/>
      <c r="CQ144" s="98"/>
    </row>
    <row r="145" spans="1:95" s="57" customFormat="1" ht="32.25" customHeight="1">
      <c r="A145" s="116" t="s">
        <v>260</v>
      </c>
      <c r="B145" s="191">
        <v>2660</v>
      </c>
      <c r="C145" s="191">
        <v>247</v>
      </c>
      <c r="D145" s="191"/>
      <c r="E145" s="190">
        <f>E146</f>
        <v>3231116.06</v>
      </c>
      <c r="F145" s="189">
        <f t="shared" si="59"/>
        <v>3521943.5</v>
      </c>
      <c r="G145" s="190">
        <f t="shared" si="59"/>
        <v>4273694.37</v>
      </c>
      <c r="H145" s="190">
        <f t="shared" si="59"/>
        <v>4221064.01</v>
      </c>
      <c r="I145" s="190">
        <f t="shared" si="59"/>
        <v>4221064.01</v>
      </c>
      <c r="J145" s="190">
        <f t="shared" si="59"/>
        <v>4221064.01</v>
      </c>
      <c r="K145" s="190">
        <f t="shared" si="59"/>
        <v>4221064.01</v>
      </c>
      <c r="L145" s="111"/>
      <c r="M145" s="196"/>
      <c r="N145" s="197"/>
      <c r="O145" s="197"/>
      <c r="P145" s="197"/>
      <c r="Q145" s="197"/>
      <c r="R145" s="197"/>
      <c r="S145" s="197"/>
      <c r="T145" s="464"/>
      <c r="U145" s="465"/>
      <c r="V145" s="465"/>
      <c r="W145" s="465"/>
      <c r="X145" s="465"/>
      <c r="Y145" s="465"/>
      <c r="Z145" s="465"/>
      <c r="AA145" s="465"/>
      <c r="AB145" s="465"/>
      <c r="AC145" s="465"/>
      <c r="AD145" s="465"/>
      <c r="AE145" s="465"/>
      <c r="AF145" s="465"/>
      <c r="AG145" s="465"/>
      <c r="AH145" s="465"/>
      <c r="AI145" s="465"/>
      <c r="AJ145" s="465"/>
      <c r="AK145" s="465"/>
      <c r="AL145" s="465"/>
      <c r="AM145" s="465"/>
      <c r="AN145" s="465"/>
      <c r="AO145" s="465"/>
      <c r="AP145" s="465"/>
      <c r="AQ145" s="466"/>
      <c r="AR145" s="464"/>
      <c r="AS145" s="465"/>
      <c r="AT145" s="465"/>
      <c r="AU145" s="465"/>
      <c r="AV145" s="465"/>
      <c r="AW145" s="465"/>
      <c r="AX145" s="465"/>
      <c r="AY145" s="465"/>
      <c r="AZ145" s="465"/>
      <c r="BA145" s="465"/>
      <c r="BB145" s="465"/>
      <c r="BC145" s="465"/>
      <c r="BD145" s="465"/>
      <c r="BE145" s="465"/>
      <c r="BF145" s="465"/>
      <c r="BG145" s="465"/>
      <c r="BH145" s="465"/>
      <c r="BI145" s="465"/>
      <c r="BJ145" s="465"/>
      <c r="BK145" s="465"/>
      <c r="BL145" s="465"/>
      <c r="BM145" s="465"/>
      <c r="BN145" s="465"/>
      <c r="BO145" s="466"/>
      <c r="BP145" s="464"/>
      <c r="BQ145" s="465"/>
      <c r="BR145" s="465"/>
      <c r="BS145" s="465"/>
      <c r="BT145" s="465"/>
      <c r="BU145" s="465"/>
      <c r="BV145" s="465"/>
      <c r="BW145" s="465"/>
      <c r="BX145" s="465"/>
      <c r="BY145" s="465"/>
      <c r="BZ145" s="465"/>
      <c r="CA145" s="465"/>
      <c r="CB145" s="465"/>
      <c r="CC145" s="465"/>
      <c r="CD145" s="465"/>
      <c r="CE145" s="465"/>
      <c r="CF145" s="465"/>
      <c r="CG145" s="465"/>
      <c r="CH145" s="465"/>
      <c r="CI145" s="465"/>
      <c r="CJ145" s="465"/>
      <c r="CK145" s="465"/>
      <c r="CL145" s="465"/>
      <c r="CM145" s="466"/>
      <c r="CN145" s="198"/>
      <c r="CO145" s="198"/>
      <c r="CP145" s="198"/>
      <c r="CQ145" s="98"/>
    </row>
    <row r="146" spans="1:95" s="107" customFormat="1" ht="18" customHeight="1">
      <c r="A146" s="132" t="s">
        <v>208</v>
      </c>
      <c r="B146" s="104"/>
      <c r="C146" s="105" t="s">
        <v>265</v>
      </c>
      <c r="D146" s="104">
        <v>223</v>
      </c>
      <c r="E146" s="106">
        <v>3231116.06</v>
      </c>
      <c r="F146" s="114">
        <v>3521943.5</v>
      </c>
      <c r="G146" s="113">
        <v>4273694.37</v>
      </c>
      <c r="H146" s="114">
        <v>4221064.01</v>
      </c>
      <c r="I146" s="114">
        <v>4221064.01</v>
      </c>
      <c r="J146" s="114">
        <f>I146</f>
        <v>4221064.01</v>
      </c>
      <c r="K146" s="114">
        <f>J146</f>
        <v>4221064.01</v>
      </c>
      <c r="L146" s="110"/>
      <c r="M146" s="196"/>
      <c r="N146" s="197"/>
      <c r="O146" s="197"/>
      <c r="P146" s="197"/>
      <c r="Q146" s="197"/>
      <c r="R146" s="197"/>
      <c r="S146" s="197"/>
      <c r="T146" s="464"/>
      <c r="U146" s="465"/>
      <c r="V146" s="465"/>
      <c r="W146" s="465"/>
      <c r="X146" s="465"/>
      <c r="Y146" s="465"/>
      <c r="Z146" s="465"/>
      <c r="AA146" s="465"/>
      <c r="AB146" s="465"/>
      <c r="AC146" s="465"/>
      <c r="AD146" s="465"/>
      <c r="AE146" s="465"/>
      <c r="AF146" s="465"/>
      <c r="AG146" s="465"/>
      <c r="AH146" s="465"/>
      <c r="AI146" s="465"/>
      <c r="AJ146" s="465"/>
      <c r="AK146" s="465"/>
      <c r="AL146" s="465"/>
      <c r="AM146" s="465"/>
      <c r="AN146" s="465"/>
      <c r="AO146" s="465"/>
      <c r="AP146" s="465"/>
      <c r="AQ146" s="466"/>
      <c r="AR146" s="464"/>
      <c r="AS146" s="465"/>
      <c r="AT146" s="465"/>
      <c r="AU146" s="465"/>
      <c r="AV146" s="465"/>
      <c r="AW146" s="465"/>
      <c r="AX146" s="465"/>
      <c r="AY146" s="465"/>
      <c r="AZ146" s="465"/>
      <c r="BA146" s="465"/>
      <c r="BB146" s="465"/>
      <c r="BC146" s="465"/>
      <c r="BD146" s="465"/>
      <c r="BE146" s="465"/>
      <c r="BF146" s="465"/>
      <c r="BG146" s="465"/>
      <c r="BH146" s="465"/>
      <c r="BI146" s="465"/>
      <c r="BJ146" s="465"/>
      <c r="BK146" s="465"/>
      <c r="BL146" s="465"/>
      <c r="BM146" s="465"/>
      <c r="BN146" s="465"/>
      <c r="BO146" s="466"/>
      <c r="BP146" s="464"/>
      <c r="BQ146" s="465"/>
      <c r="BR146" s="465"/>
      <c r="BS146" s="465"/>
      <c r="BT146" s="465"/>
      <c r="BU146" s="465"/>
      <c r="BV146" s="465"/>
      <c r="BW146" s="465"/>
      <c r="BX146" s="465"/>
      <c r="BY146" s="465"/>
      <c r="BZ146" s="465"/>
      <c r="CA146" s="465"/>
      <c r="CB146" s="465"/>
      <c r="CC146" s="465"/>
      <c r="CD146" s="465"/>
      <c r="CE146" s="465"/>
      <c r="CF146" s="465"/>
      <c r="CG146" s="465"/>
      <c r="CH146" s="465"/>
      <c r="CI146" s="465"/>
      <c r="CJ146" s="465"/>
      <c r="CK146" s="465"/>
      <c r="CL146" s="465"/>
      <c r="CM146" s="466"/>
      <c r="CN146" s="198"/>
      <c r="CO146" s="198"/>
      <c r="CP146" s="198"/>
      <c r="CQ146" s="98"/>
    </row>
    <row r="147" spans="1:95" s="119" customFormat="1" ht="30" hidden="1" customHeight="1">
      <c r="A147" s="129" t="s">
        <v>176</v>
      </c>
      <c r="B147" s="429" t="s">
        <v>274</v>
      </c>
      <c r="C147" s="429"/>
      <c r="D147" s="429"/>
      <c r="E147" s="117">
        <f>E148</f>
        <v>3231116.06</v>
      </c>
      <c r="F147" s="117">
        <f t="shared" ref="F147:I147" si="60">F148</f>
        <v>3521943.5</v>
      </c>
      <c r="G147" s="117">
        <f t="shared" si="60"/>
        <v>0</v>
      </c>
      <c r="H147" s="117">
        <f t="shared" si="60"/>
        <v>0</v>
      </c>
      <c r="I147" s="117">
        <f t="shared" si="60"/>
        <v>0</v>
      </c>
      <c r="J147" s="117">
        <f>I147</f>
        <v>0</v>
      </c>
      <c r="K147" s="117">
        <f>J147</f>
        <v>0</v>
      </c>
      <c r="L147" s="118"/>
      <c r="M147" s="196"/>
      <c r="N147" s="197"/>
      <c r="O147" s="197"/>
      <c r="P147" s="197"/>
      <c r="Q147" s="197"/>
      <c r="R147" s="197"/>
      <c r="S147" s="197"/>
      <c r="T147" s="464"/>
      <c r="U147" s="465"/>
      <c r="V147" s="465"/>
      <c r="W147" s="465"/>
      <c r="X147" s="465"/>
      <c r="Y147" s="465"/>
      <c r="Z147" s="465"/>
      <c r="AA147" s="465"/>
      <c r="AB147" s="465"/>
      <c r="AC147" s="465"/>
      <c r="AD147" s="465"/>
      <c r="AE147" s="465"/>
      <c r="AF147" s="465"/>
      <c r="AG147" s="465"/>
      <c r="AH147" s="465"/>
      <c r="AI147" s="465"/>
      <c r="AJ147" s="465"/>
      <c r="AK147" s="465"/>
      <c r="AL147" s="465"/>
      <c r="AM147" s="465"/>
      <c r="AN147" s="465"/>
      <c r="AO147" s="465"/>
      <c r="AP147" s="465"/>
      <c r="AQ147" s="466"/>
      <c r="AR147" s="464"/>
      <c r="AS147" s="465"/>
      <c r="AT147" s="465"/>
      <c r="AU147" s="465"/>
      <c r="AV147" s="465"/>
      <c r="AW147" s="465"/>
      <c r="AX147" s="465"/>
      <c r="AY147" s="465"/>
      <c r="AZ147" s="465"/>
      <c r="BA147" s="465"/>
      <c r="BB147" s="465"/>
      <c r="BC147" s="465"/>
      <c r="BD147" s="465"/>
      <c r="BE147" s="465"/>
      <c r="BF147" s="465"/>
      <c r="BG147" s="465"/>
      <c r="BH147" s="465"/>
      <c r="BI147" s="465"/>
      <c r="BJ147" s="465"/>
      <c r="BK147" s="465"/>
      <c r="BL147" s="465"/>
      <c r="BM147" s="465"/>
      <c r="BN147" s="465"/>
      <c r="BO147" s="466"/>
      <c r="BP147" s="464"/>
      <c r="BQ147" s="465"/>
      <c r="BR147" s="465"/>
      <c r="BS147" s="465"/>
      <c r="BT147" s="465"/>
      <c r="BU147" s="465"/>
      <c r="BV147" s="465"/>
      <c r="BW147" s="465"/>
      <c r="BX147" s="465"/>
      <c r="BY147" s="465"/>
      <c r="BZ147" s="465"/>
      <c r="CA147" s="465"/>
      <c r="CB147" s="465"/>
      <c r="CC147" s="465"/>
      <c r="CD147" s="465"/>
      <c r="CE147" s="465"/>
      <c r="CF147" s="465"/>
      <c r="CG147" s="465"/>
      <c r="CH147" s="465"/>
      <c r="CI147" s="465"/>
      <c r="CJ147" s="465"/>
      <c r="CK147" s="465"/>
      <c r="CL147" s="465"/>
      <c r="CM147" s="466"/>
      <c r="CN147" s="198"/>
      <c r="CO147" s="198"/>
      <c r="CP147" s="198"/>
      <c r="CQ147" s="98"/>
    </row>
    <row r="148" spans="1:95" s="57" customFormat="1" ht="38.25" hidden="1" customHeight="1">
      <c r="A148" s="59" t="s">
        <v>231</v>
      </c>
      <c r="B148" s="238">
        <v>2600</v>
      </c>
      <c r="C148" s="238" t="s">
        <v>60</v>
      </c>
      <c r="D148" s="232"/>
      <c r="E148" s="234">
        <f>E150</f>
        <v>3231116.06</v>
      </c>
      <c r="F148" s="237">
        <f t="shared" ref="F148" si="61">F150</f>
        <v>3521943.5</v>
      </c>
      <c r="G148" s="234">
        <f>G150</f>
        <v>0</v>
      </c>
      <c r="H148" s="234">
        <f t="shared" ref="H148:K148" si="62">H150</f>
        <v>0</v>
      </c>
      <c r="I148" s="234">
        <f t="shared" si="62"/>
        <v>0</v>
      </c>
      <c r="J148" s="234">
        <f t="shared" si="62"/>
        <v>0</v>
      </c>
      <c r="K148" s="234">
        <f t="shared" si="62"/>
        <v>0</v>
      </c>
      <c r="M148" s="196"/>
      <c r="N148" s="197"/>
      <c r="O148" s="197"/>
      <c r="P148" s="197"/>
      <c r="Q148" s="197"/>
      <c r="R148" s="197"/>
      <c r="S148" s="197"/>
      <c r="T148" s="464"/>
      <c r="U148" s="465"/>
      <c r="V148" s="465"/>
      <c r="W148" s="465"/>
      <c r="X148" s="465"/>
      <c r="Y148" s="465"/>
      <c r="Z148" s="465"/>
      <c r="AA148" s="465"/>
      <c r="AB148" s="465"/>
      <c r="AC148" s="465"/>
      <c r="AD148" s="465"/>
      <c r="AE148" s="465"/>
      <c r="AF148" s="465"/>
      <c r="AG148" s="465"/>
      <c r="AH148" s="465"/>
      <c r="AI148" s="465"/>
      <c r="AJ148" s="465"/>
      <c r="AK148" s="465"/>
      <c r="AL148" s="465"/>
      <c r="AM148" s="465"/>
      <c r="AN148" s="465"/>
      <c r="AO148" s="465"/>
      <c r="AP148" s="465"/>
      <c r="AQ148" s="466"/>
      <c r="AR148" s="464"/>
      <c r="AS148" s="465"/>
      <c r="AT148" s="465"/>
      <c r="AU148" s="465"/>
      <c r="AV148" s="465"/>
      <c r="AW148" s="465"/>
      <c r="AX148" s="465"/>
      <c r="AY148" s="465"/>
      <c r="AZ148" s="465"/>
      <c r="BA148" s="465"/>
      <c r="BB148" s="465"/>
      <c r="BC148" s="465"/>
      <c r="BD148" s="465"/>
      <c r="BE148" s="465"/>
      <c r="BF148" s="465"/>
      <c r="BG148" s="465"/>
      <c r="BH148" s="465"/>
      <c r="BI148" s="465"/>
      <c r="BJ148" s="465"/>
      <c r="BK148" s="465"/>
      <c r="BL148" s="465"/>
      <c r="BM148" s="465"/>
      <c r="BN148" s="465"/>
      <c r="BO148" s="466"/>
      <c r="BP148" s="464"/>
      <c r="BQ148" s="465"/>
      <c r="BR148" s="465"/>
      <c r="BS148" s="465"/>
      <c r="BT148" s="465"/>
      <c r="BU148" s="465"/>
      <c r="BV148" s="465"/>
      <c r="BW148" s="465"/>
      <c r="BX148" s="465"/>
      <c r="BY148" s="465"/>
      <c r="BZ148" s="465"/>
      <c r="CA148" s="465"/>
      <c r="CB148" s="465"/>
      <c r="CC148" s="465"/>
      <c r="CD148" s="465"/>
      <c r="CE148" s="465"/>
      <c r="CF148" s="465"/>
      <c r="CG148" s="465"/>
      <c r="CH148" s="465"/>
      <c r="CI148" s="465"/>
      <c r="CJ148" s="465"/>
      <c r="CK148" s="465"/>
      <c r="CL148" s="465"/>
      <c r="CM148" s="466"/>
      <c r="CN148" s="198"/>
      <c r="CO148" s="198"/>
      <c r="CP148" s="198"/>
      <c r="CQ148" s="98"/>
    </row>
    <row r="149" spans="1:95" s="231" customFormat="1" ht="30" hidden="1" customHeight="1">
      <c r="A149" s="233" t="s">
        <v>230</v>
      </c>
      <c r="B149" s="232"/>
      <c r="C149" s="232"/>
      <c r="D149" s="232"/>
      <c r="E149" s="235"/>
      <c r="F149" s="236"/>
      <c r="G149" s="235"/>
      <c r="H149" s="235"/>
      <c r="I149" s="235"/>
      <c r="J149" s="242"/>
      <c r="K149" s="242"/>
      <c r="M149" s="196"/>
      <c r="N149" s="197"/>
      <c r="O149" s="197"/>
      <c r="P149" s="197"/>
      <c r="Q149" s="197"/>
      <c r="R149" s="197"/>
      <c r="S149" s="197"/>
      <c r="T149" s="464"/>
      <c r="U149" s="465"/>
      <c r="V149" s="465"/>
      <c r="W149" s="465"/>
      <c r="X149" s="465"/>
      <c r="Y149" s="465"/>
      <c r="Z149" s="465"/>
      <c r="AA149" s="465"/>
      <c r="AB149" s="465"/>
      <c r="AC149" s="465"/>
      <c r="AD149" s="465"/>
      <c r="AE149" s="465"/>
      <c r="AF149" s="465"/>
      <c r="AG149" s="465"/>
      <c r="AH149" s="465"/>
      <c r="AI149" s="465"/>
      <c r="AJ149" s="465"/>
      <c r="AK149" s="465"/>
      <c r="AL149" s="465"/>
      <c r="AM149" s="465"/>
      <c r="AN149" s="465"/>
      <c r="AO149" s="465"/>
      <c r="AP149" s="465"/>
      <c r="AQ149" s="466"/>
      <c r="AR149" s="464"/>
      <c r="AS149" s="465"/>
      <c r="AT149" s="465"/>
      <c r="AU149" s="465"/>
      <c r="AV149" s="465"/>
      <c r="AW149" s="465"/>
      <c r="AX149" s="465"/>
      <c r="AY149" s="465"/>
      <c r="AZ149" s="465"/>
      <c r="BA149" s="465"/>
      <c r="BB149" s="465"/>
      <c r="BC149" s="465"/>
      <c r="BD149" s="465"/>
      <c r="BE149" s="465"/>
      <c r="BF149" s="465"/>
      <c r="BG149" s="465"/>
      <c r="BH149" s="465"/>
      <c r="BI149" s="465"/>
      <c r="BJ149" s="465"/>
      <c r="BK149" s="465"/>
      <c r="BL149" s="465"/>
      <c r="BM149" s="465"/>
      <c r="BN149" s="465"/>
      <c r="BO149" s="466"/>
      <c r="BP149" s="464"/>
      <c r="BQ149" s="465"/>
      <c r="BR149" s="465"/>
      <c r="BS149" s="465"/>
      <c r="BT149" s="465"/>
      <c r="BU149" s="465"/>
      <c r="BV149" s="465"/>
      <c r="BW149" s="465"/>
      <c r="BX149" s="465"/>
      <c r="BY149" s="465"/>
      <c r="BZ149" s="465"/>
      <c r="CA149" s="465"/>
      <c r="CB149" s="465"/>
      <c r="CC149" s="465"/>
      <c r="CD149" s="465"/>
      <c r="CE149" s="465"/>
      <c r="CF149" s="465"/>
      <c r="CG149" s="465"/>
      <c r="CH149" s="465"/>
      <c r="CI149" s="465"/>
      <c r="CJ149" s="465"/>
      <c r="CK149" s="465"/>
      <c r="CL149" s="465"/>
      <c r="CM149" s="466"/>
      <c r="CN149" s="198"/>
      <c r="CO149" s="198"/>
      <c r="CP149" s="198"/>
      <c r="CQ149" s="98"/>
    </row>
    <row r="150" spans="1:95" s="57" customFormat="1" ht="32.25" hidden="1" customHeight="1">
      <c r="A150" s="116" t="s">
        <v>259</v>
      </c>
      <c r="B150" s="240">
        <v>2640</v>
      </c>
      <c r="C150" s="240">
        <v>244</v>
      </c>
      <c r="D150" s="240"/>
      <c r="E150" s="241">
        <f>E151</f>
        <v>3231116.06</v>
      </c>
      <c r="F150" s="237">
        <f t="shared" ref="F150:K150" si="63">F151</f>
        <v>3521943.5</v>
      </c>
      <c r="G150" s="241">
        <f t="shared" si="63"/>
        <v>0</v>
      </c>
      <c r="H150" s="241">
        <f t="shared" si="63"/>
        <v>0</v>
      </c>
      <c r="I150" s="241">
        <f t="shared" si="63"/>
        <v>0</v>
      </c>
      <c r="J150" s="241">
        <f t="shared" si="63"/>
        <v>0</v>
      </c>
      <c r="K150" s="241">
        <f t="shared" si="63"/>
        <v>0</v>
      </c>
      <c r="L150" s="111"/>
      <c r="M150" s="196"/>
      <c r="N150" s="197"/>
      <c r="O150" s="197"/>
      <c r="P150" s="197"/>
      <c r="Q150" s="197"/>
      <c r="R150" s="197"/>
      <c r="S150" s="197"/>
      <c r="T150" s="464"/>
      <c r="U150" s="465"/>
      <c r="V150" s="465"/>
      <c r="W150" s="465"/>
      <c r="X150" s="465"/>
      <c r="Y150" s="465"/>
      <c r="Z150" s="465"/>
      <c r="AA150" s="465"/>
      <c r="AB150" s="465"/>
      <c r="AC150" s="465"/>
      <c r="AD150" s="465"/>
      <c r="AE150" s="465"/>
      <c r="AF150" s="465"/>
      <c r="AG150" s="465"/>
      <c r="AH150" s="465"/>
      <c r="AI150" s="465"/>
      <c r="AJ150" s="465"/>
      <c r="AK150" s="465"/>
      <c r="AL150" s="465"/>
      <c r="AM150" s="465"/>
      <c r="AN150" s="465"/>
      <c r="AO150" s="465"/>
      <c r="AP150" s="465"/>
      <c r="AQ150" s="466"/>
      <c r="AR150" s="464"/>
      <c r="AS150" s="465"/>
      <c r="AT150" s="465"/>
      <c r="AU150" s="465"/>
      <c r="AV150" s="465"/>
      <c r="AW150" s="465"/>
      <c r="AX150" s="465"/>
      <c r="AY150" s="465"/>
      <c r="AZ150" s="465"/>
      <c r="BA150" s="465"/>
      <c r="BB150" s="465"/>
      <c r="BC150" s="465"/>
      <c r="BD150" s="465"/>
      <c r="BE150" s="465"/>
      <c r="BF150" s="465"/>
      <c r="BG150" s="465"/>
      <c r="BH150" s="465"/>
      <c r="BI150" s="465"/>
      <c r="BJ150" s="465"/>
      <c r="BK150" s="465"/>
      <c r="BL150" s="465"/>
      <c r="BM150" s="465"/>
      <c r="BN150" s="465"/>
      <c r="BO150" s="466"/>
      <c r="BP150" s="464"/>
      <c r="BQ150" s="465"/>
      <c r="BR150" s="465"/>
      <c r="BS150" s="465"/>
      <c r="BT150" s="465"/>
      <c r="BU150" s="465"/>
      <c r="BV150" s="465"/>
      <c r="BW150" s="465"/>
      <c r="BX150" s="465"/>
      <c r="BY150" s="465"/>
      <c r="BZ150" s="465"/>
      <c r="CA150" s="465"/>
      <c r="CB150" s="465"/>
      <c r="CC150" s="465"/>
      <c r="CD150" s="465"/>
      <c r="CE150" s="465"/>
      <c r="CF150" s="465"/>
      <c r="CG150" s="465"/>
      <c r="CH150" s="465"/>
      <c r="CI150" s="465"/>
      <c r="CJ150" s="465"/>
      <c r="CK150" s="465"/>
      <c r="CL150" s="465"/>
      <c r="CM150" s="466"/>
      <c r="CN150" s="198"/>
      <c r="CO150" s="198"/>
      <c r="CP150" s="198"/>
      <c r="CQ150" s="98"/>
    </row>
    <row r="151" spans="1:95" s="107" customFormat="1" ht="36.75" hidden="1" customHeight="1">
      <c r="A151" s="132" t="s">
        <v>200</v>
      </c>
      <c r="B151" s="104"/>
      <c r="C151" s="105" t="s">
        <v>273</v>
      </c>
      <c r="D151" s="104">
        <v>310</v>
      </c>
      <c r="E151" s="106">
        <v>3231116.06</v>
      </c>
      <c r="F151" s="114">
        <v>3521943.5</v>
      </c>
      <c r="G151" s="113"/>
      <c r="H151" s="114"/>
      <c r="I151" s="114"/>
      <c r="J151" s="114"/>
      <c r="K151" s="114"/>
      <c r="L151" s="110"/>
      <c r="M151" s="196"/>
      <c r="N151" s="197"/>
      <c r="O151" s="197"/>
      <c r="P151" s="197"/>
      <c r="Q151" s="197"/>
      <c r="R151" s="197"/>
      <c r="S151" s="197"/>
      <c r="T151" s="464"/>
      <c r="U151" s="465"/>
      <c r="V151" s="465"/>
      <c r="W151" s="465"/>
      <c r="X151" s="465"/>
      <c r="Y151" s="465"/>
      <c r="Z151" s="465"/>
      <c r="AA151" s="465"/>
      <c r="AB151" s="465"/>
      <c r="AC151" s="465"/>
      <c r="AD151" s="465"/>
      <c r="AE151" s="465"/>
      <c r="AF151" s="465"/>
      <c r="AG151" s="465"/>
      <c r="AH151" s="465"/>
      <c r="AI151" s="465"/>
      <c r="AJ151" s="465"/>
      <c r="AK151" s="465"/>
      <c r="AL151" s="465"/>
      <c r="AM151" s="465"/>
      <c r="AN151" s="465"/>
      <c r="AO151" s="465"/>
      <c r="AP151" s="465"/>
      <c r="AQ151" s="466"/>
      <c r="AR151" s="464"/>
      <c r="AS151" s="465"/>
      <c r="AT151" s="465"/>
      <c r="AU151" s="465"/>
      <c r="AV151" s="465"/>
      <c r="AW151" s="465"/>
      <c r="AX151" s="465"/>
      <c r="AY151" s="465"/>
      <c r="AZ151" s="465"/>
      <c r="BA151" s="465"/>
      <c r="BB151" s="465"/>
      <c r="BC151" s="465"/>
      <c r="BD151" s="465"/>
      <c r="BE151" s="465"/>
      <c r="BF151" s="465"/>
      <c r="BG151" s="465"/>
      <c r="BH151" s="465"/>
      <c r="BI151" s="465"/>
      <c r="BJ151" s="465"/>
      <c r="BK151" s="465"/>
      <c r="BL151" s="465"/>
      <c r="BM151" s="465"/>
      <c r="BN151" s="465"/>
      <c r="BO151" s="466"/>
      <c r="BP151" s="464"/>
      <c r="BQ151" s="465"/>
      <c r="BR151" s="465"/>
      <c r="BS151" s="465"/>
      <c r="BT151" s="465"/>
      <c r="BU151" s="465"/>
      <c r="BV151" s="465"/>
      <c r="BW151" s="465"/>
      <c r="BX151" s="465"/>
      <c r="BY151" s="465"/>
      <c r="BZ151" s="465"/>
      <c r="CA151" s="465"/>
      <c r="CB151" s="465"/>
      <c r="CC151" s="465"/>
      <c r="CD151" s="465"/>
      <c r="CE151" s="465"/>
      <c r="CF151" s="465"/>
      <c r="CG151" s="465"/>
      <c r="CH151" s="465"/>
      <c r="CI151" s="465"/>
      <c r="CJ151" s="465"/>
      <c r="CK151" s="465"/>
      <c r="CL151" s="465"/>
      <c r="CM151" s="466"/>
      <c r="CN151" s="198"/>
      <c r="CO151" s="198"/>
      <c r="CP151" s="198"/>
      <c r="CQ151" s="98"/>
    </row>
    <row r="152" spans="1:95" s="516" customFormat="1" ht="30" customHeight="1">
      <c r="A152" s="505" t="s">
        <v>176</v>
      </c>
      <c r="B152" s="506" t="s">
        <v>223</v>
      </c>
      <c r="C152" s="506"/>
      <c r="D152" s="506"/>
      <c r="E152" s="507">
        <f>E153</f>
        <v>110473.33000000002</v>
      </c>
      <c r="F152" s="507">
        <f t="shared" ref="F152:I152" si="64">F153</f>
        <v>34707.14</v>
      </c>
      <c r="G152" s="507">
        <f t="shared" si="64"/>
        <v>28260.809999999998</v>
      </c>
      <c r="H152" s="507">
        <f t="shared" si="64"/>
        <v>30269.83</v>
      </c>
      <c r="I152" s="507">
        <f t="shared" si="64"/>
        <v>34269.83</v>
      </c>
      <c r="J152" s="507">
        <f>I152</f>
        <v>34269.83</v>
      </c>
      <c r="K152" s="507">
        <f>J152</f>
        <v>34269.83</v>
      </c>
      <c r="L152" s="508"/>
      <c r="M152" s="509"/>
      <c r="N152" s="510"/>
      <c r="O152" s="510"/>
      <c r="P152" s="510"/>
      <c r="Q152" s="510"/>
      <c r="R152" s="510"/>
      <c r="S152" s="510"/>
      <c r="T152" s="511"/>
      <c r="U152" s="512"/>
      <c r="V152" s="512"/>
      <c r="W152" s="512"/>
      <c r="X152" s="512"/>
      <c r="Y152" s="512"/>
      <c r="Z152" s="512"/>
      <c r="AA152" s="512"/>
      <c r="AB152" s="512"/>
      <c r="AC152" s="512"/>
      <c r="AD152" s="512"/>
      <c r="AE152" s="512"/>
      <c r="AF152" s="512"/>
      <c r="AG152" s="512"/>
      <c r="AH152" s="512"/>
      <c r="AI152" s="512"/>
      <c r="AJ152" s="512"/>
      <c r="AK152" s="512"/>
      <c r="AL152" s="512"/>
      <c r="AM152" s="512"/>
      <c r="AN152" s="512"/>
      <c r="AO152" s="512"/>
      <c r="AP152" s="512"/>
      <c r="AQ152" s="513"/>
      <c r="AR152" s="511"/>
      <c r="AS152" s="512"/>
      <c r="AT152" s="512"/>
      <c r="AU152" s="512"/>
      <c r="AV152" s="512"/>
      <c r="AW152" s="512"/>
      <c r="AX152" s="512"/>
      <c r="AY152" s="512"/>
      <c r="AZ152" s="512"/>
      <c r="BA152" s="512"/>
      <c r="BB152" s="512"/>
      <c r="BC152" s="512"/>
      <c r="BD152" s="512"/>
      <c r="BE152" s="512"/>
      <c r="BF152" s="512"/>
      <c r="BG152" s="512"/>
      <c r="BH152" s="512"/>
      <c r="BI152" s="512"/>
      <c r="BJ152" s="512"/>
      <c r="BK152" s="512"/>
      <c r="BL152" s="512"/>
      <c r="BM152" s="512"/>
      <c r="BN152" s="512"/>
      <c r="BO152" s="513"/>
      <c r="BP152" s="511"/>
      <c r="BQ152" s="512"/>
      <c r="BR152" s="512"/>
      <c r="BS152" s="512"/>
      <c r="BT152" s="512"/>
      <c r="BU152" s="512"/>
      <c r="BV152" s="512"/>
      <c r="BW152" s="512"/>
      <c r="BX152" s="512"/>
      <c r="BY152" s="512"/>
      <c r="BZ152" s="512"/>
      <c r="CA152" s="512"/>
      <c r="CB152" s="512"/>
      <c r="CC152" s="512"/>
      <c r="CD152" s="512"/>
      <c r="CE152" s="512"/>
      <c r="CF152" s="512"/>
      <c r="CG152" s="512"/>
      <c r="CH152" s="512"/>
      <c r="CI152" s="512"/>
      <c r="CJ152" s="512"/>
      <c r="CK152" s="512"/>
      <c r="CL152" s="512"/>
      <c r="CM152" s="513"/>
      <c r="CN152" s="514"/>
      <c r="CO152" s="514"/>
      <c r="CP152" s="514"/>
      <c r="CQ152" s="515"/>
    </row>
    <row r="153" spans="1:95" s="57" customFormat="1" ht="26.25" customHeight="1">
      <c r="A153" s="422" t="s">
        <v>99</v>
      </c>
      <c r="B153" s="423">
        <v>2100</v>
      </c>
      <c r="C153" s="423" t="s">
        <v>60</v>
      </c>
      <c r="D153" s="420"/>
      <c r="E153" s="412">
        <f>E155+E159</f>
        <v>110473.33000000002</v>
      </c>
      <c r="F153" s="413">
        <f t="shared" ref="F153:I153" si="65">F155+F159</f>
        <v>34707.14</v>
      </c>
      <c r="G153" s="412">
        <f t="shared" si="65"/>
        <v>28260.809999999998</v>
      </c>
      <c r="H153" s="412">
        <f t="shared" si="65"/>
        <v>30269.83</v>
      </c>
      <c r="I153" s="412">
        <f t="shared" si="65"/>
        <v>34269.83</v>
      </c>
      <c r="J153" s="412">
        <f>I153</f>
        <v>34269.83</v>
      </c>
      <c r="K153" s="412" t="s">
        <v>60</v>
      </c>
      <c r="M153" s="196"/>
      <c r="N153" s="197"/>
      <c r="O153" s="197"/>
      <c r="P153" s="197"/>
      <c r="Q153" s="197"/>
      <c r="R153" s="197"/>
      <c r="S153" s="197"/>
      <c r="T153" s="464"/>
      <c r="U153" s="465"/>
      <c r="V153" s="465"/>
      <c r="W153" s="465"/>
      <c r="X153" s="465"/>
      <c r="Y153" s="465"/>
      <c r="Z153" s="465"/>
      <c r="AA153" s="465"/>
      <c r="AB153" s="465"/>
      <c r="AC153" s="465"/>
      <c r="AD153" s="465"/>
      <c r="AE153" s="465"/>
      <c r="AF153" s="465"/>
      <c r="AG153" s="465"/>
      <c r="AH153" s="465"/>
      <c r="AI153" s="465"/>
      <c r="AJ153" s="465"/>
      <c r="AK153" s="465"/>
      <c r="AL153" s="465"/>
      <c r="AM153" s="465"/>
      <c r="AN153" s="465"/>
      <c r="AO153" s="465"/>
      <c r="AP153" s="465"/>
      <c r="AQ153" s="466"/>
      <c r="AR153" s="464"/>
      <c r="AS153" s="465"/>
      <c r="AT153" s="465"/>
      <c r="AU153" s="465"/>
      <c r="AV153" s="465"/>
      <c r="AW153" s="465"/>
      <c r="AX153" s="465"/>
      <c r="AY153" s="465"/>
      <c r="AZ153" s="465"/>
      <c r="BA153" s="465"/>
      <c r="BB153" s="465"/>
      <c r="BC153" s="465"/>
      <c r="BD153" s="465"/>
      <c r="BE153" s="465"/>
      <c r="BF153" s="465"/>
      <c r="BG153" s="465"/>
      <c r="BH153" s="465"/>
      <c r="BI153" s="465"/>
      <c r="BJ153" s="465"/>
      <c r="BK153" s="465"/>
      <c r="BL153" s="465"/>
      <c r="BM153" s="465"/>
      <c r="BN153" s="465"/>
      <c r="BO153" s="466"/>
      <c r="BP153" s="464"/>
      <c r="BQ153" s="465"/>
      <c r="BR153" s="465"/>
      <c r="BS153" s="465"/>
      <c r="BT153" s="465"/>
      <c r="BU153" s="465"/>
      <c r="BV153" s="465"/>
      <c r="BW153" s="465"/>
      <c r="BX153" s="465"/>
      <c r="BY153" s="465"/>
      <c r="BZ153" s="465"/>
      <c r="CA153" s="465"/>
      <c r="CB153" s="465"/>
      <c r="CC153" s="465"/>
      <c r="CD153" s="465"/>
      <c r="CE153" s="465"/>
      <c r="CF153" s="465"/>
      <c r="CG153" s="465"/>
      <c r="CH153" s="465"/>
      <c r="CI153" s="465"/>
      <c r="CJ153" s="465"/>
      <c r="CK153" s="465"/>
      <c r="CL153" s="465"/>
      <c r="CM153" s="466"/>
      <c r="CN153" s="198"/>
      <c r="CO153" s="198"/>
      <c r="CP153" s="198"/>
      <c r="CQ153" s="98"/>
    </row>
    <row r="154" spans="1:95" s="57" customFormat="1" ht="25.5" customHeight="1">
      <c r="A154" s="422"/>
      <c r="B154" s="423"/>
      <c r="C154" s="423"/>
      <c r="D154" s="420"/>
      <c r="E154" s="412"/>
      <c r="F154" s="413"/>
      <c r="G154" s="412"/>
      <c r="H154" s="412"/>
      <c r="I154" s="412"/>
      <c r="J154" s="412"/>
      <c r="K154" s="412"/>
      <c r="M154" s="196"/>
      <c r="N154" s="197"/>
      <c r="O154" s="197"/>
      <c r="P154" s="197"/>
      <c r="Q154" s="197"/>
      <c r="R154" s="197"/>
      <c r="S154" s="197"/>
      <c r="T154" s="464"/>
      <c r="U154" s="465"/>
      <c r="V154" s="465"/>
      <c r="W154" s="465"/>
      <c r="X154" s="465"/>
      <c r="Y154" s="465"/>
      <c r="Z154" s="465"/>
      <c r="AA154" s="465"/>
      <c r="AB154" s="465"/>
      <c r="AC154" s="465"/>
      <c r="AD154" s="465"/>
      <c r="AE154" s="465"/>
      <c r="AF154" s="465"/>
      <c r="AG154" s="465"/>
      <c r="AH154" s="465"/>
      <c r="AI154" s="465"/>
      <c r="AJ154" s="465"/>
      <c r="AK154" s="465"/>
      <c r="AL154" s="465"/>
      <c r="AM154" s="465"/>
      <c r="AN154" s="465"/>
      <c r="AO154" s="465"/>
      <c r="AP154" s="465"/>
      <c r="AQ154" s="466"/>
      <c r="AR154" s="464"/>
      <c r="AS154" s="465"/>
      <c r="AT154" s="465"/>
      <c r="AU154" s="465"/>
      <c r="AV154" s="465"/>
      <c r="AW154" s="465"/>
      <c r="AX154" s="465"/>
      <c r="AY154" s="465"/>
      <c r="AZ154" s="465"/>
      <c r="BA154" s="465"/>
      <c r="BB154" s="465"/>
      <c r="BC154" s="465"/>
      <c r="BD154" s="465"/>
      <c r="BE154" s="465"/>
      <c r="BF154" s="465"/>
      <c r="BG154" s="465"/>
      <c r="BH154" s="465"/>
      <c r="BI154" s="465"/>
      <c r="BJ154" s="465"/>
      <c r="BK154" s="465"/>
      <c r="BL154" s="465"/>
      <c r="BM154" s="465"/>
      <c r="BN154" s="465"/>
      <c r="BO154" s="466"/>
      <c r="BP154" s="464"/>
      <c r="BQ154" s="465"/>
      <c r="BR154" s="465"/>
      <c r="BS154" s="465"/>
      <c r="BT154" s="465"/>
      <c r="BU154" s="465"/>
      <c r="BV154" s="465"/>
      <c r="BW154" s="465"/>
      <c r="BX154" s="465"/>
      <c r="BY154" s="465"/>
      <c r="BZ154" s="465"/>
      <c r="CA154" s="465"/>
      <c r="CB154" s="465"/>
      <c r="CC154" s="465"/>
      <c r="CD154" s="465"/>
      <c r="CE154" s="465"/>
      <c r="CF154" s="465"/>
      <c r="CG154" s="465"/>
      <c r="CH154" s="465"/>
      <c r="CI154" s="465"/>
      <c r="CJ154" s="465"/>
      <c r="CK154" s="465"/>
      <c r="CL154" s="465"/>
      <c r="CM154" s="466"/>
      <c r="CN154" s="198"/>
      <c r="CO154" s="198"/>
      <c r="CP154" s="198"/>
      <c r="CQ154" s="98"/>
    </row>
    <row r="155" spans="1:95" s="57" customFormat="1" ht="18" customHeight="1">
      <c r="A155" s="422" t="s">
        <v>100</v>
      </c>
      <c r="B155" s="423">
        <v>2110</v>
      </c>
      <c r="C155" s="423">
        <v>111</v>
      </c>
      <c r="D155" s="420"/>
      <c r="E155" s="412">
        <f>SUM(E158:E158)</f>
        <v>84848.950000000012</v>
      </c>
      <c r="F155" s="413">
        <f>SUM(F158:F158)</f>
        <v>26656.78</v>
      </c>
      <c r="G155" s="412">
        <f>SUM(G158:G158)</f>
        <v>21705.69</v>
      </c>
      <c r="H155" s="412">
        <f>SUM(H158:H158)</f>
        <v>23248.720000000001</v>
      </c>
      <c r="I155" s="412">
        <f>SUM(I158:I158)</f>
        <v>26320.92</v>
      </c>
      <c r="J155" s="412">
        <f>I155</f>
        <v>26320.92</v>
      </c>
      <c r="K155" s="412" t="s">
        <v>60</v>
      </c>
      <c r="M155" s="196"/>
      <c r="N155" s="197"/>
      <c r="O155" s="197"/>
      <c r="P155" s="197"/>
      <c r="Q155" s="197"/>
      <c r="R155" s="197"/>
      <c r="S155" s="197"/>
      <c r="T155" s="464"/>
      <c r="U155" s="465"/>
      <c r="V155" s="465"/>
      <c r="W155" s="465"/>
      <c r="X155" s="465"/>
      <c r="Y155" s="465"/>
      <c r="Z155" s="465"/>
      <c r="AA155" s="465"/>
      <c r="AB155" s="465"/>
      <c r="AC155" s="465"/>
      <c r="AD155" s="465"/>
      <c r="AE155" s="465"/>
      <c r="AF155" s="465"/>
      <c r="AG155" s="465"/>
      <c r="AH155" s="465"/>
      <c r="AI155" s="465"/>
      <c r="AJ155" s="465"/>
      <c r="AK155" s="465"/>
      <c r="AL155" s="465"/>
      <c r="AM155" s="465"/>
      <c r="AN155" s="465"/>
      <c r="AO155" s="465"/>
      <c r="AP155" s="465"/>
      <c r="AQ155" s="466"/>
      <c r="AR155" s="464"/>
      <c r="AS155" s="465"/>
      <c r="AT155" s="465"/>
      <c r="AU155" s="465"/>
      <c r="AV155" s="465"/>
      <c r="AW155" s="465"/>
      <c r="AX155" s="465"/>
      <c r="AY155" s="465"/>
      <c r="AZ155" s="465"/>
      <c r="BA155" s="465"/>
      <c r="BB155" s="465"/>
      <c r="BC155" s="465"/>
      <c r="BD155" s="465"/>
      <c r="BE155" s="465"/>
      <c r="BF155" s="465"/>
      <c r="BG155" s="465"/>
      <c r="BH155" s="465"/>
      <c r="BI155" s="465"/>
      <c r="BJ155" s="465"/>
      <c r="BK155" s="465"/>
      <c r="BL155" s="465"/>
      <c r="BM155" s="465"/>
      <c r="BN155" s="465"/>
      <c r="BO155" s="466"/>
      <c r="BP155" s="464"/>
      <c r="BQ155" s="465"/>
      <c r="BR155" s="465"/>
      <c r="BS155" s="465"/>
      <c r="BT155" s="465"/>
      <c r="BU155" s="465"/>
      <c r="BV155" s="465"/>
      <c r="BW155" s="465"/>
      <c r="BX155" s="465"/>
      <c r="BY155" s="465"/>
      <c r="BZ155" s="465"/>
      <c r="CA155" s="465"/>
      <c r="CB155" s="465"/>
      <c r="CC155" s="465"/>
      <c r="CD155" s="465"/>
      <c r="CE155" s="465"/>
      <c r="CF155" s="465"/>
      <c r="CG155" s="465"/>
      <c r="CH155" s="465"/>
      <c r="CI155" s="465"/>
      <c r="CJ155" s="465"/>
      <c r="CK155" s="465"/>
      <c r="CL155" s="465"/>
      <c r="CM155" s="466"/>
      <c r="CN155" s="198"/>
      <c r="CO155" s="198"/>
      <c r="CP155" s="198"/>
      <c r="CQ155" s="98"/>
    </row>
    <row r="156" spans="1:95" s="57" customFormat="1" ht="18" customHeight="1">
      <c r="A156" s="422"/>
      <c r="B156" s="423"/>
      <c r="C156" s="423"/>
      <c r="D156" s="420"/>
      <c r="E156" s="412"/>
      <c r="F156" s="413"/>
      <c r="G156" s="412"/>
      <c r="H156" s="412"/>
      <c r="I156" s="412"/>
      <c r="J156" s="412"/>
      <c r="K156" s="412"/>
      <c r="L156" s="111"/>
      <c r="M156" s="196"/>
      <c r="N156" s="197"/>
      <c r="O156" s="197"/>
      <c r="P156" s="197"/>
      <c r="Q156" s="197"/>
      <c r="R156" s="197"/>
      <c r="S156" s="197"/>
      <c r="T156" s="464"/>
      <c r="U156" s="465"/>
      <c r="V156" s="465"/>
      <c r="W156" s="465"/>
      <c r="X156" s="465"/>
      <c r="Y156" s="465"/>
      <c r="Z156" s="465"/>
      <c r="AA156" s="465"/>
      <c r="AB156" s="465"/>
      <c r="AC156" s="465"/>
      <c r="AD156" s="465"/>
      <c r="AE156" s="465"/>
      <c r="AF156" s="465"/>
      <c r="AG156" s="465"/>
      <c r="AH156" s="465"/>
      <c r="AI156" s="465"/>
      <c r="AJ156" s="465"/>
      <c r="AK156" s="465"/>
      <c r="AL156" s="465"/>
      <c r="AM156" s="465"/>
      <c r="AN156" s="465"/>
      <c r="AO156" s="465"/>
      <c r="AP156" s="465"/>
      <c r="AQ156" s="466"/>
      <c r="AR156" s="464"/>
      <c r="AS156" s="465"/>
      <c r="AT156" s="465"/>
      <c r="AU156" s="465"/>
      <c r="AV156" s="465"/>
      <c r="AW156" s="465"/>
      <c r="AX156" s="465"/>
      <c r="AY156" s="465"/>
      <c r="AZ156" s="465"/>
      <c r="BA156" s="465"/>
      <c r="BB156" s="465"/>
      <c r="BC156" s="465"/>
      <c r="BD156" s="465"/>
      <c r="BE156" s="465"/>
      <c r="BF156" s="465"/>
      <c r="BG156" s="465"/>
      <c r="BH156" s="465"/>
      <c r="BI156" s="465"/>
      <c r="BJ156" s="465"/>
      <c r="BK156" s="465"/>
      <c r="BL156" s="465"/>
      <c r="BM156" s="465"/>
      <c r="BN156" s="465"/>
      <c r="BO156" s="466"/>
      <c r="BP156" s="464"/>
      <c r="BQ156" s="465"/>
      <c r="BR156" s="465"/>
      <c r="BS156" s="465"/>
      <c r="BT156" s="465"/>
      <c r="BU156" s="465"/>
      <c r="BV156" s="465"/>
      <c r="BW156" s="465"/>
      <c r="BX156" s="465"/>
      <c r="BY156" s="465"/>
      <c r="BZ156" s="465"/>
      <c r="CA156" s="465"/>
      <c r="CB156" s="465"/>
      <c r="CC156" s="465"/>
      <c r="CD156" s="465"/>
      <c r="CE156" s="465"/>
      <c r="CF156" s="465"/>
      <c r="CG156" s="465"/>
      <c r="CH156" s="465"/>
      <c r="CI156" s="465"/>
      <c r="CJ156" s="465"/>
      <c r="CK156" s="465"/>
      <c r="CL156" s="465"/>
      <c r="CM156" s="466"/>
      <c r="CN156" s="198"/>
      <c r="CO156" s="198"/>
      <c r="CP156" s="198"/>
      <c r="CQ156" s="98"/>
    </row>
    <row r="157" spans="1:95" s="103" customFormat="1" ht="18" customHeight="1">
      <c r="A157" s="130" t="s">
        <v>189</v>
      </c>
      <c r="B157" s="99"/>
      <c r="C157" s="100"/>
      <c r="D157" s="104"/>
      <c r="E157" s="101"/>
      <c r="F157" s="101"/>
      <c r="G157" s="102"/>
      <c r="H157" s="99"/>
      <c r="I157" s="99"/>
      <c r="J157" s="99"/>
      <c r="K157" s="99"/>
      <c r="L157" s="109"/>
      <c r="M157" s="196"/>
      <c r="N157" s="197"/>
      <c r="O157" s="197"/>
      <c r="P157" s="197"/>
      <c r="Q157" s="197"/>
      <c r="R157" s="197"/>
      <c r="S157" s="197"/>
      <c r="T157" s="464"/>
      <c r="U157" s="465"/>
      <c r="V157" s="465"/>
      <c r="W157" s="465"/>
      <c r="X157" s="465"/>
      <c r="Y157" s="465"/>
      <c r="Z157" s="465"/>
      <c r="AA157" s="465"/>
      <c r="AB157" s="465"/>
      <c r="AC157" s="465"/>
      <c r="AD157" s="465"/>
      <c r="AE157" s="465"/>
      <c r="AF157" s="465"/>
      <c r="AG157" s="465"/>
      <c r="AH157" s="465"/>
      <c r="AI157" s="465"/>
      <c r="AJ157" s="465"/>
      <c r="AK157" s="465"/>
      <c r="AL157" s="465"/>
      <c r="AM157" s="465"/>
      <c r="AN157" s="465"/>
      <c r="AO157" s="465"/>
      <c r="AP157" s="465"/>
      <c r="AQ157" s="466"/>
      <c r="AR157" s="464"/>
      <c r="AS157" s="465"/>
      <c r="AT157" s="465"/>
      <c r="AU157" s="465"/>
      <c r="AV157" s="465"/>
      <c r="AW157" s="465"/>
      <c r="AX157" s="465"/>
      <c r="AY157" s="465"/>
      <c r="AZ157" s="465"/>
      <c r="BA157" s="465"/>
      <c r="BB157" s="465"/>
      <c r="BC157" s="465"/>
      <c r="BD157" s="465"/>
      <c r="BE157" s="465"/>
      <c r="BF157" s="465"/>
      <c r="BG157" s="465"/>
      <c r="BH157" s="465"/>
      <c r="BI157" s="465"/>
      <c r="BJ157" s="465"/>
      <c r="BK157" s="465"/>
      <c r="BL157" s="465"/>
      <c r="BM157" s="465"/>
      <c r="BN157" s="465"/>
      <c r="BO157" s="466"/>
      <c r="BP157" s="464"/>
      <c r="BQ157" s="465"/>
      <c r="BR157" s="465"/>
      <c r="BS157" s="465"/>
      <c r="BT157" s="465"/>
      <c r="BU157" s="465"/>
      <c r="BV157" s="465"/>
      <c r="BW157" s="465"/>
      <c r="BX157" s="465"/>
      <c r="BY157" s="465"/>
      <c r="BZ157" s="465"/>
      <c r="CA157" s="465"/>
      <c r="CB157" s="465"/>
      <c r="CC157" s="465"/>
      <c r="CD157" s="465"/>
      <c r="CE157" s="465"/>
      <c r="CF157" s="465"/>
      <c r="CG157" s="465"/>
      <c r="CH157" s="465"/>
      <c r="CI157" s="465"/>
      <c r="CJ157" s="465"/>
      <c r="CK157" s="465"/>
      <c r="CL157" s="465"/>
      <c r="CM157" s="466"/>
      <c r="CN157" s="198"/>
      <c r="CO157" s="198"/>
      <c r="CP157" s="198"/>
      <c r="CQ157" s="98"/>
    </row>
    <row r="158" spans="1:95" s="107" customFormat="1" ht="18" customHeight="1">
      <c r="A158" s="131" t="s">
        <v>190</v>
      </c>
      <c r="B158" s="104"/>
      <c r="C158" s="105" t="s">
        <v>179</v>
      </c>
      <c r="D158" s="104">
        <v>211</v>
      </c>
      <c r="E158" s="120">
        <f>19061.71+65787.24</f>
        <v>84848.950000000012</v>
      </c>
      <c r="F158" s="114">
        <f>6373.86+20282.92</f>
        <v>26656.78</v>
      </c>
      <c r="G158" s="114">
        <f>880.64+20825.05</f>
        <v>21705.69</v>
      </c>
      <c r="H158" s="114">
        <f>22368.08+880.64</f>
        <v>23248.720000000001</v>
      </c>
      <c r="I158" s="114">
        <f>25440.28+880.64</f>
        <v>26320.92</v>
      </c>
      <c r="J158" s="114">
        <f>I158</f>
        <v>26320.92</v>
      </c>
      <c r="K158" s="104" t="s">
        <v>3</v>
      </c>
      <c r="L158" s="110"/>
      <c r="M158" s="196"/>
      <c r="N158" s="197"/>
      <c r="O158" s="197"/>
      <c r="P158" s="197"/>
      <c r="Q158" s="197"/>
      <c r="R158" s="197"/>
      <c r="S158" s="197"/>
      <c r="T158" s="464"/>
      <c r="U158" s="465"/>
      <c r="V158" s="465"/>
      <c r="W158" s="465"/>
      <c r="X158" s="465"/>
      <c r="Y158" s="465"/>
      <c r="Z158" s="465"/>
      <c r="AA158" s="465"/>
      <c r="AB158" s="465"/>
      <c r="AC158" s="465"/>
      <c r="AD158" s="465"/>
      <c r="AE158" s="465"/>
      <c r="AF158" s="465"/>
      <c r="AG158" s="465"/>
      <c r="AH158" s="465"/>
      <c r="AI158" s="465"/>
      <c r="AJ158" s="465"/>
      <c r="AK158" s="465"/>
      <c r="AL158" s="465"/>
      <c r="AM158" s="465"/>
      <c r="AN158" s="465"/>
      <c r="AO158" s="465"/>
      <c r="AP158" s="465"/>
      <c r="AQ158" s="466"/>
      <c r="AR158" s="464"/>
      <c r="AS158" s="465"/>
      <c r="AT158" s="465"/>
      <c r="AU158" s="465"/>
      <c r="AV158" s="465"/>
      <c r="AW158" s="465"/>
      <c r="AX158" s="465"/>
      <c r="AY158" s="465"/>
      <c r="AZ158" s="465"/>
      <c r="BA158" s="465"/>
      <c r="BB158" s="465"/>
      <c r="BC158" s="465"/>
      <c r="BD158" s="465"/>
      <c r="BE158" s="465"/>
      <c r="BF158" s="465"/>
      <c r="BG158" s="465"/>
      <c r="BH158" s="465"/>
      <c r="BI158" s="465"/>
      <c r="BJ158" s="465"/>
      <c r="BK158" s="465"/>
      <c r="BL158" s="465"/>
      <c r="BM158" s="465"/>
      <c r="BN158" s="465"/>
      <c r="BO158" s="466"/>
      <c r="BP158" s="464"/>
      <c r="BQ158" s="465"/>
      <c r="BR158" s="465"/>
      <c r="BS158" s="465"/>
      <c r="BT158" s="465"/>
      <c r="BU158" s="465"/>
      <c r="BV158" s="465"/>
      <c r="BW158" s="465"/>
      <c r="BX158" s="465"/>
      <c r="BY158" s="465"/>
      <c r="BZ158" s="465"/>
      <c r="CA158" s="465"/>
      <c r="CB158" s="465"/>
      <c r="CC158" s="465"/>
      <c r="CD158" s="465"/>
      <c r="CE158" s="465"/>
      <c r="CF158" s="465"/>
      <c r="CG158" s="465"/>
      <c r="CH158" s="465"/>
      <c r="CI158" s="465"/>
      <c r="CJ158" s="465"/>
      <c r="CK158" s="465"/>
      <c r="CL158" s="465"/>
      <c r="CM158" s="466"/>
      <c r="CN158" s="198"/>
      <c r="CO158" s="198"/>
      <c r="CP158" s="198"/>
      <c r="CQ158" s="98"/>
    </row>
    <row r="159" spans="1:95" s="57" customFormat="1" ht="87.75" customHeight="1">
      <c r="A159" s="80" t="s">
        <v>72</v>
      </c>
      <c r="B159" s="140">
        <v>2140</v>
      </c>
      <c r="C159" s="140">
        <v>119</v>
      </c>
      <c r="D159" s="138"/>
      <c r="E159" s="139">
        <f>E160</f>
        <v>25624.38</v>
      </c>
      <c r="F159" s="166">
        <f t="shared" ref="F159:I159" si="66">F160</f>
        <v>8050.36</v>
      </c>
      <c r="G159" s="139">
        <f t="shared" si="66"/>
        <v>6555.12</v>
      </c>
      <c r="H159" s="139">
        <f t="shared" si="66"/>
        <v>7021.11</v>
      </c>
      <c r="I159" s="139">
        <f t="shared" si="66"/>
        <v>7948.91</v>
      </c>
      <c r="J159" s="139">
        <f>I159</f>
        <v>7948.91</v>
      </c>
      <c r="K159" s="172" t="s">
        <v>60</v>
      </c>
      <c r="M159" s="196"/>
      <c r="N159" s="197"/>
      <c r="O159" s="197"/>
      <c r="P159" s="197"/>
      <c r="Q159" s="197"/>
      <c r="R159" s="197"/>
      <c r="S159" s="197"/>
      <c r="T159" s="464"/>
      <c r="U159" s="465"/>
      <c r="V159" s="465"/>
      <c r="W159" s="465"/>
      <c r="X159" s="465"/>
      <c r="Y159" s="465"/>
      <c r="Z159" s="465"/>
      <c r="AA159" s="465"/>
      <c r="AB159" s="465"/>
      <c r="AC159" s="465"/>
      <c r="AD159" s="465"/>
      <c r="AE159" s="465"/>
      <c r="AF159" s="465"/>
      <c r="AG159" s="465"/>
      <c r="AH159" s="465"/>
      <c r="AI159" s="465"/>
      <c r="AJ159" s="465"/>
      <c r="AK159" s="465"/>
      <c r="AL159" s="465"/>
      <c r="AM159" s="465"/>
      <c r="AN159" s="465"/>
      <c r="AO159" s="465"/>
      <c r="AP159" s="465"/>
      <c r="AQ159" s="466"/>
      <c r="AR159" s="464"/>
      <c r="AS159" s="465"/>
      <c r="AT159" s="465"/>
      <c r="AU159" s="465"/>
      <c r="AV159" s="465"/>
      <c r="AW159" s="465"/>
      <c r="AX159" s="465"/>
      <c r="AY159" s="465"/>
      <c r="AZ159" s="465"/>
      <c r="BA159" s="465"/>
      <c r="BB159" s="465"/>
      <c r="BC159" s="465"/>
      <c r="BD159" s="465"/>
      <c r="BE159" s="465"/>
      <c r="BF159" s="465"/>
      <c r="BG159" s="465"/>
      <c r="BH159" s="465"/>
      <c r="BI159" s="465"/>
      <c r="BJ159" s="465"/>
      <c r="BK159" s="465"/>
      <c r="BL159" s="465"/>
      <c r="BM159" s="465"/>
      <c r="BN159" s="465"/>
      <c r="BO159" s="466"/>
      <c r="BP159" s="464"/>
      <c r="BQ159" s="465"/>
      <c r="BR159" s="465"/>
      <c r="BS159" s="465"/>
      <c r="BT159" s="465"/>
      <c r="BU159" s="465"/>
      <c r="BV159" s="465"/>
      <c r="BW159" s="465"/>
      <c r="BX159" s="465"/>
      <c r="BY159" s="465"/>
      <c r="BZ159" s="465"/>
      <c r="CA159" s="465"/>
      <c r="CB159" s="465"/>
      <c r="CC159" s="465"/>
      <c r="CD159" s="465"/>
      <c r="CE159" s="465"/>
      <c r="CF159" s="465"/>
      <c r="CG159" s="465"/>
      <c r="CH159" s="465"/>
      <c r="CI159" s="465"/>
      <c r="CJ159" s="465"/>
      <c r="CK159" s="465"/>
      <c r="CL159" s="465"/>
      <c r="CM159" s="466"/>
      <c r="CN159" s="198"/>
      <c r="CO159" s="198"/>
      <c r="CP159" s="198"/>
      <c r="CQ159" s="98"/>
    </row>
    <row r="160" spans="1:95" s="137" customFormat="1" ht="30" customHeight="1">
      <c r="A160" s="416" t="s">
        <v>101</v>
      </c>
      <c r="B160" s="420">
        <v>2141</v>
      </c>
      <c r="C160" s="420">
        <v>119</v>
      </c>
      <c r="D160" s="420"/>
      <c r="E160" s="414">
        <f>E162</f>
        <v>25624.38</v>
      </c>
      <c r="F160" s="421">
        <f t="shared" ref="F160:I160" si="67">F162</f>
        <v>8050.36</v>
      </c>
      <c r="G160" s="414">
        <f t="shared" si="67"/>
        <v>6555.12</v>
      </c>
      <c r="H160" s="414">
        <f t="shared" si="67"/>
        <v>7021.11</v>
      </c>
      <c r="I160" s="414">
        <f t="shared" si="67"/>
        <v>7948.91</v>
      </c>
      <c r="J160" s="414">
        <f>I160</f>
        <v>7948.91</v>
      </c>
      <c r="K160" s="414" t="s">
        <v>60</v>
      </c>
      <c r="M160" s="196"/>
      <c r="N160" s="197"/>
      <c r="O160" s="197"/>
      <c r="P160" s="197"/>
      <c r="Q160" s="197"/>
      <c r="R160" s="197"/>
      <c r="S160" s="197"/>
      <c r="T160" s="464"/>
      <c r="U160" s="465"/>
      <c r="V160" s="465"/>
      <c r="W160" s="465"/>
      <c r="X160" s="465"/>
      <c r="Y160" s="465"/>
      <c r="Z160" s="465"/>
      <c r="AA160" s="465"/>
      <c r="AB160" s="465"/>
      <c r="AC160" s="465"/>
      <c r="AD160" s="465"/>
      <c r="AE160" s="465"/>
      <c r="AF160" s="465"/>
      <c r="AG160" s="465"/>
      <c r="AH160" s="465"/>
      <c r="AI160" s="465"/>
      <c r="AJ160" s="465"/>
      <c r="AK160" s="465"/>
      <c r="AL160" s="465"/>
      <c r="AM160" s="465"/>
      <c r="AN160" s="465"/>
      <c r="AO160" s="465"/>
      <c r="AP160" s="465"/>
      <c r="AQ160" s="466"/>
      <c r="AR160" s="464"/>
      <c r="AS160" s="465"/>
      <c r="AT160" s="465"/>
      <c r="AU160" s="465"/>
      <c r="AV160" s="465"/>
      <c r="AW160" s="465"/>
      <c r="AX160" s="465"/>
      <c r="AY160" s="465"/>
      <c r="AZ160" s="465"/>
      <c r="BA160" s="465"/>
      <c r="BB160" s="465"/>
      <c r="BC160" s="465"/>
      <c r="BD160" s="465"/>
      <c r="BE160" s="465"/>
      <c r="BF160" s="465"/>
      <c r="BG160" s="465"/>
      <c r="BH160" s="465"/>
      <c r="BI160" s="465"/>
      <c r="BJ160" s="465"/>
      <c r="BK160" s="465"/>
      <c r="BL160" s="465"/>
      <c r="BM160" s="465"/>
      <c r="BN160" s="465"/>
      <c r="BO160" s="466"/>
      <c r="BP160" s="464"/>
      <c r="BQ160" s="465"/>
      <c r="BR160" s="465"/>
      <c r="BS160" s="465"/>
      <c r="BT160" s="465"/>
      <c r="BU160" s="465"/>
      <c r="BV160" s="465"/>
      <c r="BW160" s="465"/>
      <c r="BX160" s="465"/>
      <c r="BY160" s="465"/>
      <c r="BZ160" s="465"/>
      <c r="CA160" s="465"/>
      <c r="CB160" s="465"/>
      <c r="CC160" s="465"/>
      <c r="CD160" s="465"/>
      <c r="CE160" s="465"/>
      <c r="CF160" s="465"/>
      <c r="CG160" s="465"/>
      <c r="CH160" s="465"/>
      <c r="CI160" s="465"/>
      <c r="CJ160" s="465"/>
      <c r="CK160" s="465"/>
      <c r="CL160" s="465"/>
      <c r="CM160" s="466"/>
      <c r="CN160" s="198"/>
      <c r="CO160" s="198"/>
      <c r="CP160" s="198"/>
      <c r="CQ160" s="98"/>
    </row>
    <row r="161" spans="1:95" s="137" customFormat="1" ht="15.75" customHeight="1">
      <c r="A161" s="416"/>
      <c r="B161" s="420"/>
      <c r="C161" s="420"/>
      <c r="D161" s="420"/>
      <c r="E161" s="414"/>
      <c r="F161" s="421"/>
      <c r="G161" s="414"/>
      <c r="H161" s="414"/>
      <c r="I161" s="414"/>
      <c r="J161" s="414"/>
      <c r="K161" s="414"/>
      <c r="M161" s="196"/>
      <c r="N161" s="197"/>
      <c r="O161" s="197"/>
      <c r="P161" s="197"/>
      <c r="Q161" s="197"/>
      <c r="R161" s="197"/>
      <c r="S161" s="197"/>
      <c r="T161" s="464"/>
      <c r="U161" s="465"/>
      <c r="V161" s="465"/>
      <c r="W161" s="465"/>
      <c r="X161" s="465"/>
      <c r="Y161" s="465"/>
      <c r="Z161" s="465"/>
      <c r="AA161" s="465"/>
      <c r="AB161" s="465"/>
      <c r="AC161" s="465"/>
      <c r="AD161" s="465"/>
      <c r="AE161" s="465"/>
      <c r="AF161" s="465"/>
      <c r="AG161" s="465"/>
      <c r="AH161" s="465"/>
      <c r="AI161" s="465"/>
      <c r="AJ161" s="465"/>
      <c r="AK161" s="465"/>
      <c r="AL161" s="465"/>
      <c r="AM161" s="465"/>
      <c r="AN161" s="465"/>
      <c r="AO161" s="465"/>
      <c r="AP161" s="465"/>
      <c r="AQ161" s="466"/>
      <c r="AR161" s="464"/>
      <c r="AS161" s="465"/>
      <c r="AT161" s="465"/>
      <c r="AU161" s="465"/>
      <c r="AV161" s="465"/>
      <c r="AW161" s="465"/>
      <c r="AX161" s="465"/>
      <c r="AY161" s="465"/>
      <c r="AZ161" s="465"/>
      <c r="BA161" s="465"/>
      <c r="BB161" s="465"/>
      <c r="BC161" s="465"/>
      <c r="BD161" s="465"/>
      <c r="BE161" s="465"/>
      <c r="BF161" s="465"/>
      <c r="BG161" s="465"/>
      <c r="BH161" s="465"/>
      <c r="BI161" s="465"/>
      <c r="BJ161" s="465"/>
      <c r="BK161" s="465"/>
      <c r="BL161" s="465"/>
      <c r="BM161" s="465"/>
      <c r="BN161" s="465"/>
      <c r="BO161" s="466"/>
      <c r="BP161" s="464"/>
      <c r="BQ161" s="465"/>
      <c r="BR161" s="465"/>
      <c r="BS161" s="465"/>
      <c r="BT161" s="465"/>
      <c r="BU161" s="465"/>
      <c r="BV161" s="465"/>
      <c r="BW161" s="465"/>
      <c r="BX161" s="465"/>
      <c r="BY161" s="465"/>
      <c r="BZ161" s="465"/>
      <c r="CA161" s="465"/>
      <c r="CB161" s="465"/>
      <c r="CC161" s="465"/>
      <c r="CD161" s="465"/>
      <c r="CE161" s="465"/>
      <c r="CF161" s="465"/>
      <c r="CG161" s="465"/>
      <c r="CH161" s="465"/>
      <c r="CI161" s="465"/>
      <c r="CJ161" s="465"/>
      <c r="CK161" s="465"/>
      <c r="CL161" s="465"/>
      <c r="CM161" s="466"/>
      <c r="CN161" s="198"/>
      <c r="CO161" s="198"/>
      <c r="CP161" s="198"/>
      <c r="CQ161" s="98"/>
    </row>
    <row r="162" spans="1:95" s="107" customFormat="1" ht="30" customHeight="1">
      <c r="A162" s="131" t="s">
        <v>191</v>
      </c>
      <c r="B162" s="104"/>
      <c r="C162" s="105" t="s">
        <v>179</v>
      </c>
      <c r="D162" s="104">
        <v>213</v>
      </c>
      <c r="E162" s="114">
        <f>5756.63+19867.75</f>
        <v>25624.38</v>
      </c>
      <c r="F162" s="114">
        <f>1924.91+6125.45</f>
        <v>8050.36</v>
      </c>
      <c r="G162" s="114">
        <f>265.95+6289.17</f>
        <v>6555.12</v>
      </c>
      <c r="H162" s="114">
        <f>265.95+6755.16</f>
        <v>7021.11</v>
      </c>
      <c r="I162" s="114">
        <f>265.95+7682.96</f>
        <v>7948.91</v>
      </c>
      <c r="J162" s="114">
        <f>I162</f>
        <v>7948.91</v>
      </c>
      <c r="K162" s="104" t="s">
        <v>3</v>
      </c>
      <c r="L162" s="110"/>
      <c r="M162" s="196"/>
      <c r="N162" s="197"/>
      <c r="O162" s="197"/>
      <c r="P162" s="197"/>
      <c r="Q162" s="197"/>
      <c r="R162" s="197"/>
      <c r="S162" s="197"/>
      <c r="T162" s="464"/>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6"/>
      <c r="AR162" s="464"/>
      <c r="AS162" s="465"/>
      <c r="AT162" s="465"/>
      <c r="AU162" s="465"/>
      <c r="AV162" s="465"/>
      <c r="AW162" s="465"/>
      <c r="AX162" s="465"/>
      <c r="AY162" s="465"/>
      <c r="AZ162" s="465"/>
      <c r="BA162" s="465"/>
      <c r="BB162" s="465"/>
      <c r="BC162" s="465"/>
      <c r="BD162" s="465"/>
      <c r="BE162" s="465"/>
      <c r="BF162" s="465"/>
      <c r="BG162" s="465"/>
      <c r="BH162" s="465"/>
      <c r="BI162" s="465"/>
      <c r="BJ162" s="465"/>
      <c r="BK162" s="465"/>
      <c r="BL162" s="465"/>
      <c r="BM162" s="465"/>
      <c r="BN162" s="465"/>
      <c r="BO162" s="466"/>
      <c r="BP162" s="464"/>
      <c r="BQ162" s="465"/>
      <c r="BR162" s="465"/>
      <c r="BS162" s="465"/>
      <c r="BT162" s="465"/>
      <c r="BU162" s="465"/>
      <c r="BV162" s="465"/>
      <c r="BW162" s="465"/>
      <c r="BX162" s="465"/>
      <c r="BY162" s="465"/>
      <c r="BZ162" s="465"/>
      <c r="CA162" s="465"/>
      <c r="CB162" s="465"/>
      <c r="CC162" s="465"/>
      <c r="CD162" s="465"/>
      <c r="CE162" s="465"/>
      <c r="CF162" s="465"/>
      <c r="CG162" s="465"/>
      <c r="CH162" s="465"/>
      <c r="CI162" s="465"/>
      <c r="CJ162" s="465"/>
      <c r="CK162" s="465"/>
      <c r="CL162" s="465"/>
      <c r="CM162" s="466"/>
      <c r="CN162" s="198"/>
      <c r="CO162" s="198"/>
      <c r="CP162" s="198"/>
      <c r="CQ162" s="98"/>
    </row>
    <row r="163" spans="1:95" s="119" customFormat="1" ht="18.75" hidden="1" customHeight="1">
      <c r="A163" s="129" t="s">
        <v>176</v>
      </c>
      <c r="B163" s="429" t="s">
        <v>223</v>
      </c>
      <c r="C163" s="429"/>
      <c r="D163" s="429"/>
      <c r="E163" s="117">
        <f>E164</f>
        <v>0</v>
      </c>
      <c r="F163" s="164">
        <f t="shared" ref="F163" si="68">F164</f>
        <v>0</v>
      </c>
      <c r="G163" s="117">
        <f t="shared" ref="G163" si="69">G164</f>
        <v>0</v>
      </c>
      <c r="H163" s="117">
        <f t="shared" ref="H163" si="70">H164</f>
        <v>0</v>
      </c>
      <c r="I163" s="117">
        <f t="shared" ref="I163" si="71">I164</f>
        <v>0</v>
      </c>
      <c r="J163" s="117" t="s">
        <v>3</v>
      </c>
      <c r="K163" s="117" t="s">
        <v>3</v>
      </c>
      <c r="L163" s="118"/>
      <c r="M163" s="196"/>
      <c r="N163" s="197"/>
      <c r="O163" s="197"/>
      <c r="P163" s="197"/>
      <c r="Q163" s="197"/>
      <c r="R163" s="197"/>
      <c r="S163" s="197"/>
      <c r="T163" s="464"/>
      <c r="U163" s="465"/>
      <c r="V163" s="465"/>
      <c r="W163" s="465"/>
      <c r="X163" s="465"/>
      <c r="Y163" s="465"/>
      <c r="Z163" s="465"/>
      <c r="AA163" s="465"/>
      <c r="AB163" s="465"/>
      <c r="AC163" s="465"/>
      <c r="AD163" s="465"/>
      <c r="AE163" s="465"/>
      <c r="AF163" s="465"/>
      <c r="AG163" s="465"/>
      <c r="AH163" s="465"/>
      <c r="AI163" s="465"/>
      <c r="AJ163" s="465"/>
      <c r="AK163" s="465"/>
      <c r="AL163" s="465"/>
      <c r="AM163" s="465"/>
      <c r="AN163" s="465"/>
      <c r="AO163" s="465"/>
      <c r="AP163" s="465"/>
      <c r="AQ163" s="466"/>
      <c r="AR163" s="464"/>
      <c r="AS163" s="465"/>
      <c r="AT163" s="465"/>
      <c r="AU163" s="465"/>
      <c r="AV163" s="465"/>
      <c r="AW163" s="465"/>
      <c r="AX163" s="465"/>
      <c r="AY163" s="465"/>
      <c r="AZ163" s="465"/>
      <c r="BA163" s="465"/>
      <c r="BB163" s="465"/>
      <c r="BC163" s="465"/>
      <c r="BD163" s="465"/>
      <c r="BE163" s="465"/>
      <c r="BF163" s="465"/>
      <c r="BG163" s="465"/>
      <c r="BH163" s="465"/>
      <c r="BI163" s="465"/>
      <c r="BJ163" s="465"/>
      <c r="BK163" s="465"/>
      <c r="BL163" s="465"/>
      <c r="BM163" s="465"/>
      <c r="BN163" s="465"/>
      <c r="BO163" s="466"/>
      <c r="BP163" s="464"/>
      <c r="BQ163" s="465"/>
      <c r="BR163" s="465"/>
      <c r="BS163" s="465"/>
      <c r="BT163" s="465"/>
      <c r="BU163" s="465"/>
      <c r="BV163" s="465"/>
      <c r="BW163" s="465"/>
      <c r="BX163" s="465"/>
      <c r="BY163" s="465"/>
      <c r="BZ163" s="465"/>
      <c r="CA163" s="465"/>
      <c r="CB163" s="465"/>
      <c r="CC163" s="465"/>
      <c r="CD163" s="465"/>
      <c r="CE163" s="465"/>
      <c r="CF163" s="465"/>
      <c r="CG163" s="465"/>
      <c r="CH163" s="465"/>
      <c r="CI163" s="465"/>
      <c r="CJ163" s="465"/>
      <c r="CK163" s="465"/>
      <c r="CL163" s="465"/>
      <c r="CM163" s="466"/>
      <c r="CN163" s="198"/>
      <c r="CO163" s="198"/>
      <c r="CP163" s="198"/>
      <c r="CQ163" s="98"/>
    </row>
    <row r="164" spans="1:95" s="57" customFormat="1" ht="12.75" hidden="1" customHeight="1">
      <c r="A164" s="422" t="s">
        <v>99</v>
      </c>
      <c r="B164" s="423">
        <v>2100</v>
      </c>
      <c r="C164" s="423" t="s">
        <v>60</v>
      </c>
      <c r="D164" s="420"/>
      <c r="E164" s="412">
        <f>E166+E170</f>
        <v>0</v>
      </c>
      <c r="F164" s="413">
        <f t="shared" ref="F164:I164" si="72">F166+F170</f>
        <v>0</v>
      </c>
      <c r="G164" s="412">
        <f t="shared" si="72"/>
        <v>0</v>
      </c>
      <c r="H164" s="412">
        <f t="shared" si="72"/>
        <v>0</v>
      </c>
      <c r="I164" s="412">
        <f t="shared" si="72"/>
        <v>0</v>
      </c>
      <c r="J164" s="412" t="s">
        <v>60</v>
      </c>
      <c r="K164" s="412" t="s">
        <v>60</v>
      </c>
      <c r="M164" s="196"/>
      <c r="N164" s="197"/>
      <c r="O164" s="197"/>
      <c r="P164" s="197"/>
      <c r="Q164" s="197"/>
      <c r="R164" s="197"/>
      <c r="S164" s="197"/>
      <c r="T164" s="464"/>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6"/>
      <c r="AR164" s="464"/>
      <c r="AS164" s="465"/>
      <c r="AT164" s="465"/>
      <c r="AU164" s="465"/>
      <c r="AV164" s="465"/>
      <c r="AW164" s="465"/>
      <c r="AX164" s="465"/>
      <c r="AY164" s="465"/>
      <c r="AZ164" s="465"/>
      <c r="BA164" s="465"/>
      <c r="BB164" s="465"/>
      <c r="BC164" s="465"/>
      <c r="BD164" s="465"/>
      <c r="BE164" s="465"/>
      <c r="BF164" s="465"/>
      <c r="BG164" s="465"/>
      <c r="BH164" s="465"/>
      <c r="BI164" s="465"/>
      <c r="BJ164" s="465"/>
      <c r="BK164" s="465"/>
      <c r="BL164" s="465"/>
      <c r="BM164" s="465"/>
      <c r="BN164" s="465"/>
      <c r="BO164" s="466"/>
      <c r="BP164" s="464"/>
      <c r="BQ164" s="465"/>
      <c r="BR164" s="465"/>
      <c r="BS164" s="465"/>
      <c r="BT164" s="465"/>
      <c r="BU164" s="465"/>
      <c r="BV164" s="465"/>
      <c r="BW164" s="465"/>
      <c r="BX164" s="465"/>
      <c r="BY164" s="465"/>
      <c r="BZ164" s="465"/>
      <c r="CA164" s="465"/>
      <c r="CB164" s="465"/>
      <c r="CC164" s="465"/>
      <c r="CD164" s="465"/>
      <c r="CE164" s="465"/>
      <c r="CF164" s="465"/>
      <c r="CG164" s="465"/>
      <c r="CH164" s="465"/>
      <c r="CI164" s="465"/>
      <c r="CJ164" s="465"/>
      <c r="CK164" s="465"/>
      <c r="CL164" s="465"/>
      <c r="CM164" s="466"/>
      <c r="CN164" s="198"/>
      <c r="CO164" s="198"/>
      <c r="CP164" s="198"/>
      <c r="CQ164" s="98"/>
    </row>
    <row r="165" spans="1:95" s="57" customFormat="1" ht="12.75" hidden="1" customHeight="1">
      <c r="A165" s="422"/>
      <c r="B165" s="423"/>
      <c r="C165" s="423"/>
      <c r="D165" s="420"/>
      <c r="E165" s="412"/>
      <c r="F165" s="413"/>
      <c r="G165" s="412"/>
      <c r="H165" s="412"/>
      <c r="I165" s="412"/>
      <c r="J165" s="412"/>
      <c r="K165" s="412"/>
      <c r="M165" s="196"/>
      <c r="N165" s="197"/>
      <c r="O165" s="197"/>
      <c r="P165" s="197"/>
      <c r="Q165" s="197"/>
      <c r="R165" s="197"/>
      <c r="S165" s="197"/>
      <c r="T165" s="464"/>
      <c r="U165" s="465"/>
      <c r="V165" s="465"/>
      <c r="W165" s="465"/>
      <c r="X165" s="465"/>
      <c r="Y165" s="465"/>
      <c r="Z165" s="465"/>
      <c r="AA165" s="465"/>
      <c r="AB165" s="465"/>
      <c r="AC165" s="465"/>
      <c r="AD165" s="465"/>
      <c r="AE165" s="465"/>
      <c r="AF165" s="465"/>
      <c r="AG165" s="465"/>
      <c r="AH165" s="465"/>
      <c r="AI165" s="465"/>
      <c r="AJ165" s="465"/>
      <c r="AK165" s="465"/>
      <c r="AL165" s="465"/>
      <c r="AM165" s="465"/>
      <c r="AN165" s="465"/>
      <c r="AO165" s="465"/>
      <c r="AP165" s="465"/>
      <c r="AQ165" s="466"/>
      <c r="AR165" s="464"/>
      <c r="AS165" s="465"/>
      <c r="AT165" s="465"/>
      <c r="AU165" s="465"/>
      <c r="AV165" s="465"/>
      <c r="AW165" s="465"/>
      <c r="AX165" s="465"/>
      <c r="AY165" s="465"/>
      <c r="AZ165" s="465"/>
      <c r="BA165" s="465"/>
      <c r="BB165" s="465"/>
      <c r="BC165" s="465"/>
      <c r="BD165" s="465"/>
      <c r="BE165" s="465"/>
      <c r="BF165" s="465"/>
      <c r="BG165" s="465"/>
      <c r="BH165" s="465"/>
      <c r="BI165" s="465"/>
      <c r="BJ165" s="465"/>
      <c r="BK165" s="465"/>
      <c r="BL165" s="465"/>
      <c r="BM165" s="465"/>
      <c r="BN165" s="465"/>
      <c r="BO165" s="466"/>
      <c r="BP165" s="464"/>
      <c r="BQ165" s="465"/>
      <c r="BR165" s="465"/>
      <c r="BS165" s="465"/>
      <c r="BT165" s="465"/>
      <c r="BU165" s="465"/>
      <c r="BV165" s="465"/>
      <c r="BW165" s="465"/>
      <c r="BX165" s="465"/>
      <c r="BY165" s="465"/>
      <c r="BZ165" s="465"/>
      <c r="CA165" s="465"/>
      <c r="CB165" s="465"/>
      <c r="CC165" s="465"/>
      <c r="CD165" s="465"/>
      <c r="CE165" s="465"/>
      <c r="CF165" s="465"/>
      <c r="CG165" s="465"/>
      <c r="CH165" s="465"/>
      <c r="CI165" s="465"/>
      <c r="CJ165" s="465"/>
      <c r="CK165" s="465"/>
      <c r="CL165" s="465"/>
      <c r="CM165" s="466"/>
      <c r="CN165" s="198"/>
      <c r="CO165" s="198"/>
      <c r="CP165" s="198"/>
      <c r="CQ165" s="98"/>
    </row>
    <row r="166" spans="1:95" s="57" customFormat="1" ht="12.75" hidden="1" customHeight="1">
      <c r="A166" s="422" t="s">
        <v>100</v>
      </c>
      <c r="B166" s="423">
        <v>2110</v>
      </c>
      <c r="C166" s="423">
        <v>111</v>
      </c>
      <c r="D166" s="420"/>
      <c r="E166" s="412">
        <f>SUM(E169:E169)</f>
        <v>0</v>
      </c>
      <c r="F166" s="413">
        <f>SUM(F169:F169)</f>
        <v>0</v>
      </c>
      <c r="G166" s="412">
        <f>SUM(G169:G169)</f>
        <v>0</v>
      </c>
      <c r="H166" s="412">
        <f>SUM(H169:H169)</f>
        <v>0</v>
      </c>
      <c r="I166" s="412">
        <f>SUM(I169:I169)</f>
        <v>0</v>
      </c>
      <c r="J166" s="412" t="s">
        <v>60</v>
      </c>
      <c r="K166" s="412" t="s">
        <v>60</v>
      </c>
      <c r="M166" s="196"/>
      <c r="N166" s="197"/>
      <c r="O166" s="197"/>
      <c r="P166" s="197"/>
      <c r="Q166" s="197"/>
      <c r="R166" s="197"/>
      <c r="S166" s="197"/>
      <c r="T166" s="464"/>
      <c r="U166" s="465"/>
      <c r="V166" s="465"/>
      <c r="W166" s="465"/>
      <c r="X166" s="465"/>
      <c r="Y166" s="465"/>
      <c r="Z166" s="465"/>
      <c r="AA166" s="465"/>
      <c r="AB166" s="465"/>
      <c r="AC166" s="465"/>
      <c r="AD166" s="465"/>
      <c r="AE166" s="465"/>
      <c r="AF166" s="465"/>
      <c r="AG166" s="465"/>
      <c r="AH166" s="465"/>
      <c r="AI166" s="465"/>
      <c r="AJ166" s="465"/>
      <c r="AK166" s="465"/>
      <c r="AL166" s="465"/>
      <c r="AM166" s="465"/>
      <c r="AN166" s="465"/>
      <c r="AO166" s="465"/>
      <c r="AP166" s="465"/>
      <c r="AQ166" s="466"/>
      <c r="AR166" s="464"/>
      <c r="AS166" s="465"/>
      <c r="AT166" s="465"/>
      <c r="AU166" s="465"/>
      <c r="AV166" s="465"/>
      <c r="AW166" s="465"/>
      <c r="AX166" s="465"/>
      <c r="AY166" s="465"/>
      <c r="AZ166" s="465"/>
      <c r="BA166" s="465"/>
      <c r="BB166" s="465"/>
      <c r="BC166" s="465"/>
      <c r="BD166" s="465"/>
      <c r="BE166" s="465"/>
      <c r="BF166" s="465"/>
      <c r="BG166" s="465"/>
      <c r="BH166" s="465"/>
      <c r="BI166" s="465"/>
      <c r="BJ166" s="465"/>
      <c r="BK166" s="465"/>
      <c r="BL166" s="465"/>
      <c r="BM166" s="465"/>
      <c r="BN166" s="465"/>
      <c r="BO166" s="466"/>
      <c r="BP166" s="464"/>
      <c r="BQ166" s="465"/>
      <c r="BR166" s="465"/>
      <c r="BS166" s="465"/>
      <c r="BT166" s="465"/>
      <c r="BU166" s="465"/>
      <c r="BV166" s="465"/>
      <c r="BW166" s="465"/>
      <c r="BX166" s="465"/>
      <c r="BY166" s="465"/>
      <c r="BZ166" s="465"/>
      <c r="CA166" s="465"/>
      <c r="CB166" s="465"/>
      <c r="CC166" s="465"/>
      <c r="CD166" s="465"/>
      <c r="CE166" s="465"/>
      <c r="CF166" s="465"/>
      <c r="CG166" s="465"/>
      <c r="CH166" s="465"/>
      <c r="CI166" s="465"/>
      <c r="CJ166" s="465"/>
      <c r="CK166" s="465"/>
      <c r="CL166" s="465"/>
      <c r="CM166" s="466"/>
      <c r="CN166" s="198"/>
      <c r="CO166" s="198"/>
      <c r="CP166" s="198"/>
      <c r="CQ166" s="98"/>
    </row>
    <row r="167" spans="1:95" s="57" customFormat="1" ht="12.75" hidden="1" customHeight="1">
      <c r="A167" s="422"/>
      <c r="B167" s="423"/>
      <c r="C167" s="423"/>
      <c r="D167" s="420"/>
      <c r="E167" s="412"/>
      <c r="F167" s="413"/>
      <c r="G167" s="412"/>
      <c r="H167" s="412"/>
      <c r="I167" s="412"/>
      <c r="J167" s="412"/>
      <c r="K167" s="412"/>
      <c r="L167" s="111"/>
      <c r="M167" s="196"/>
      <c r="N167" s="197"/>
      <c r="O167" s="197"/>
      <c r="P167" s="197"/>
      <c r="Q167" s="197"/>
      <c r="R167" s="197"/>
      <c r="S167" s="197"/>
      <c r="T167" s="464"/>
      <c r="U167" s="465"/>
      <c r="V167" s="465"/>
      <c r="W167" s="465"/>
      <c r="X167" s="465"/>
      <c r="Y167" s="465"/>
      <c r="Z167" s="465"/>
      <c r="AA167" s="465"/>
      <c r="AB167" s="465"/>
      <c r="AC167" s="465"/>
      <c r="AD167" s="465"/>
      <c r="AE167" s="465"/>
      <c r="AF167" s="465"/>
      <c r="AG167" s="465"/>
      <c r="AH167" s="465"/>
      <c r="AI167" s="465"/>
      <c r="AJ167" s="465"/>
      <c r="AK167" s="465"/>
      <c r="AL167" s="465"/>
      <c r="AM167" s="465"/>
      <c r="AN167" s="465"/>
      <c r="AO167" s="465"/>
      <c r="AP167" s="465"/>
      <c r="AQ167" s="466"/>
      <c r="AR167" s="464"/>
      <c r="AS167" s="465"/>
      <c r="AT167" s="465"/>
      <c r="AU167" s="465"/>
      <c r="AV167" s="465"/>
      <c r="AW167" s="465"/>
      <c r="AX167" s="465"/>
      <c r="AY167" s="465"/>
      <c r="AZ167" s="465"/>
      <c r="BA167" s="465"/>
      <c r="BB167" s="465"/>
      <c r="BC167" s="465"/>
      <c r="BD167" s="465"/>
      <c r="BE167" s="465"/>
      <c r="BF167" s="465"/>
      <c r="BG167" s="465"/>
      <c r="BH167" s="465"/>
      <c r="BI167" s="465"/>
      <c r="BJ167" s="465"/>
      <c r="BK167" s="465"/>
      <c r="BL167" s="465"/>
      <c r="BM167" s="465"/>
      <c r="BN167" s="465"/>
      <c r="BO167" s="466"/>
      <c r="BP167" s="464"/>
      <c r="BQ167" s="465"/>
      <c r="BR167" s="465"/>
      <c r="BS167" s="465"/>
      <c r="BT167" s="465"/>
      <c r="BU167" s="465"/>
      <c r="BV167" s="465"/>
      <c r="BW167" s="465"/>
      <c r="BX167" s="465"/>
      <c r="BY167" s="465"/>
      <c r="BZ167" s="465"/>
      <c r="CA167" s="465"/>
      <c r="CB167" s="465"/>
      <c r="CC167" s="465"/>
      <c r="CD167" s="465"/>
      <c r="CE167" s="465"/>
      <c r="CF167" s="465"/>
      <c r="CG167" s="465"/>
      <c r="CH167" s="465"/>
      <c r="CI167" s="465"/>
      <c r="CJ167" s="465"/>
      <c r="CK167" s="465"/>
      <c r="CL167" s="465"/>
      <c r="CM167" s="466"/>
      <c r="CN167" s="198"/>
      <c r="CO167" s="198"/>
      <c r="CP167" s="198"/>
      <c r="CQ167" s="98"/>
    </row>
    <row r="168" spans="1:95" s="103" customFormat="1" ht="15.75" hidden="1" customHeight="1">
      <c r="A168" s="130" t="s">
        <v>189</v>
      </c>
      <c r="B168" s="99"/>
      <c r="C168" s="100"/>
      <c r="D168" s="104"/>
      <c r="E168" s="101"/>
      <c r="F168" s="101"/>
      <c r="G168" s="102"/>
      <c r="H168" s="99"/>
      <c r="I168" s="99"/>
      <c r="J168" s="99"/>
      <c r="K168" s="99"/>
      <c r="L168" s="109"/>
      <c r="M168" s="196"/>
      <c r="N168" s="197"/>
      <c r="O168" s="197"/>
      <c r="P168" s="197"/>
      <c r="Q168" s="197"/>
      <c r="R168" s="197"/>
      <c r="S168" s="197"/>
      <c r="T168" s="464"/>
      <c r="U168" s="465"/>
      <c r="V168" s="465"/>
      <c r="W168" s="465"/>
      <c r="X168" s="465"/>
      <c r="Y168" s="465"/>
      <c r="Z168" s="465"/>
      <c r="AA168" s="465"/>
      <c r="AB168" s="465"/>
      <c r="AC168" s="465"/>
      <c r="AD168" s="465"/>
      <c r="AE168" s="465"/>
      <c r="AF168" s="465"/>
      <c r="AG168" s="465"/>
      <c r="AH168" s="465"/>
      <c r="AI168" s="465"/>
      <c r="AJ168" s="465"/>
      <c r="AK168" s="465"/>
      <c r="AL168" s="465"/>
      <c r="AM168" s="465"/>
      <c r="AN168" s="465"/>
      <c r="AO168" s="465"/>
      <c r="AP168" s="465"/>
      <c r="AQ168" s="466"/>
      <c r="AR168" s="464"/>
      <c r="AS168" s="465"/>
      <c r="AT168" s="465"/>
      <c r="AU168" s="465"/>
      <c r="AV168" s="465"/>
      <c r="AW168" s="465"/>
      <c r="AX168" s="465"/>
      <c r="AY168" s="465"/>
      <c r="AZ168" s="465"/>
      <c r="BA168" s="465"/>
      <c r="BB168" s="465"/>
      <c r="BC168" s="465"/>
      <c r="BD168" s="465"/>
      <c r="BE168" s="465"/>
      <c r="BF168" s="465"/>
      <c r="BG168" s="465"/>
      <c r="BH168" s="465"/>
      <c r="BI168" s="465"/>
      <c r="BJ168" s="465"/>
      <c r="BK168" s="465"/>
      <c r="BL168" s="465"/>
      <c r="BM168" s="465"/>
      <c r="BN168" s="465"/>
      <c r="BO168" s="466"/>
      <c r="BP168" s="464"/>
      <c r="BQ168" s="465"/>
      <c r="BR168" s="465"/>
      <c r="BS168" s="465"/>
      <c r="BT168" s="465"/>
      <c r="BU168" s="465"/>
      <c r="BV168" s="465"/>
      <c r="BW168" s="465"/>
      <c r="BX168" s="465"/>
      <c r="BY168" s="465"/>
      <c r="BZ168" s="465"/>
      <c r="CA168" s="465"/>
      <c r="CB168" s="465"/>
      <c r="CC168" s="465"/>
      <c r="CD168" s="465"/>
      <c r="CE168" s="465"/>
      <c r="CF168" s="465"/>
      <c r="CG168" s="465"/>
      <c r="CH168" s="465"/>
      <c r="CI168" s="465"/>
      <c r="CJ168" s="465"/>
      <c r="CK168" s="465"/>
      <c r="CL168" s="465"/>
      <c r="CM168" s="466"/>
      <c r="CN168" s="198"/>
      <c r="CO168" s="198"/>
      <c r="CP168" s="198"/>
      <c r="CQ168" s="98"/>
    </row>
    <row r="169" spans="1:95" s="107" customFormat="1" ht="15.75" hidden="1" customHeight="1">
      <c r="A169" s="131" t="s">
        <v>190</v>
      </c>
      <c r="B169" s="104"/>
      <c r="C169" s="105" t="s">
        <v>179</v>
      </c>
      <c r="D169" s="104">
        <v>211</v>
      </c>
      <c r="E169" s="120">
        <v>0</v>
      </c>
      <c r="F169" s="114">
        <v>0</v>
      </c>
      <c r="G169" s="113">
        <v>0</v>
      </c>
      <c r="H169" s="114">
        <v>0</v>
      </c>
      <c r="I169" s="114">
        <f>H169</f>
        <v>0</v>
      </c>
      <c r="J169" s="104" t="s">
        <v>3</v>
      </c>
      <c r="K169" s="104" t="s">
        <v>3</v>
      </c>
      <c r="L169" s="110"/>
      <c r="M169" s="196"/>
      <c r="N169" s="197"/>
      <c r="O169" s="197"/>
      <c r="P169" s="197"/>
      <c r="Q169" s="197"/>
      <c r="R169" s="197"/>
      <c r="S169" s="197"/>
      <c r="T169" s="464"/>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6"/>
      <c r="AR169" s="464"/>
      <c r="AS169" s="465"/>
      <c r="AT169" s="465"/>
      <c r="AU169" s="465"/>
      <c r="AV169" s="465"/>
      <c r="AW169" s="465"/>
      <c r="AX169" s="465"/>
      <c r="AY169" s="465"/>
      <c r="AZ169" s="465"/>
      <c r="BA169" s="465"/>
      <c r="BB169" s="465"/>
      <c r="BC169" s="465"/>
      <c r="BD169" s="465"/>
      <c r="BE169" s="465"/>
      <c r="BF169" s="465"/>
      <c r="BG169" s="465"/>
      <c r="BH169" s="465"/>
      <c r="BI169" s="465"/>
      <c r="BJ169" s="465"/>
      <c r="BK169" s="465"/>
      <c r="BL169" s="465"/>
      <c r="BM169" s="465"/>
      <c r="BN169" s="465"/>
      <c r="BO169" s="466"/>
      <c r="BP169" s="464"/>
      <c r="BQ169" s="465"/>
      <c r="BR169" s="465"/>
      <c r="BS169" s="465"/>
      <c r="BT169" s="465"/>
      <c r="BU169" s="465"/>
      <c r="BV169" s="465"/>
      <c r="BW169" s="465"/>
      <c r="BX169" s="465"/>
      <c r="BY169" s="465"/>
      <c r="BZ169" s="465"/>
      <c r="CA169" s="465"/>
      <c r="CB169" s="465"/>
      <c r="CC169" s="465"/>
      <c r="CD169" s="465"/>
      <c r="CE169" s="465"/>
      <c r="CF169" s="465"/>
      <c r="CG169" s="465"/>
      <c r="CH169" s="465"/>
      <c r="CI169" s="465"/>
      <c r="CJ169" s="465"/>
      <c r="CK169" s="465"/>
      <c r="CL169" s="465"/>
      <c r="CM169" s="466"/>
      <c r="CN169" s="198"/>
      <c r="CO169" s="198"/>
      <c r="CP169" s="198"/>
      <c r="CQ169" s="98"/>
    </row>
    <row r="170" spans="1:95" s="57" customFormat="1" ht="78.75" hidden="1" customHeight="1">
      <c r="A170" s="80" t="s">
        <v>72</v>
      </c>
      <c r="B170" s="79">
        <v>2140</v>
      </c>
      <c r="C170" s="79">
        <v>119</v>
      </c>
      <c r="D170" s="76"/>
      <c r="E170" s="81">
        <f>E171</f>
        <v>0</v>
      </c>
      <c r="F170" s="166">
        <f t="shared" ref="F170" si="73">F171</f>
        <v>0</v>
      </c>
      <c r="G170" s="81">
        <f t="shared" ref="G170" si="74">G171</f>
        <v>0</v>
      </c>
      <c r="H170" s="81">
        <f t="shared" ref="H170" si="75">H171</f>
        <v>0</v>
      </c>
      <c r="I170" s="81">
        <f t="shared" ref="I170" si="76">I171</f>
        <v>0</v>
      </c>
      <c r="J170" s="81" t="s">
        <v>60</v>
      </c>
      <c r="K170" s="172" t="s">
        <v>60</v>
      </c>
      <c r="M170" s="196"/>
      <c r="N170" s="197"/>
      <c r="O170" s="197"/>
      <c r="P170" s="197"/>
      <c r="Q170" s="197"/>
      <c r="R170" s="197"/>
      <c r="S170" s="197"/>
      <c r="T170" s="464"/>
      <c r="U170" s="465"/>
      <c r="V170" s="465"/>
      <c r="W170" s="465"/>
      <c r="X170" s="465"/>
      <c r="Y170" s="465"/>
      <c r="Z170" s="465"/>
      <c r="AA170" s="465"/>
      <c r="AB170" s="465"/>
      <c r="AC170" s="465"/>
      <c r="AD170" s="465"/>
      <c r="AE170" s="465"/>
      <c r="AF170" s="465"/>
      <c r="AG170" s="465"/>
      <c r="AH170" s="465"/>
      <c r="AI170" s="465"/>
      <c r="AJ170" s="465"/>
      <c r="AK170" s="465"/>
      <c r="AL170" s="465"/>
      <c r="AM170" s="465"/>
      <c r="AN170" s="465"/>
      <c r="AO170" s="465"/>
      <c r="AP170" s="465"/>
      <c r="AQ170" s="466"/>
      <c r="AR170" s="464"/>
      <c r="AS170" s="465"/>
      <c r="AT170" s="465"/>
      <c r="AU170" s="465"/>
      <c r="AV170" s="465"/>
      <c r="AW170" s="465"/>
      <c r="AX170" s="465"/>
      <c r="AY170" s="465"/>
      <c r="AZ170" s="465"/>
      <c r="BA170" s="465"/>
      <c r="BB170" s="465"/>
      <c r="BC170" s="465"/>
      <c r="BD170" s="465"/>
      <c r="BE170" s="465"/>
      <c r="BF170" s="465"/>
      <c r="BG170" s="465"/>
      <c r="BH170" s="465"/>
      <c r="BI170" s="465"/>
      <c r="BJ170" s="465"/>
      <c r="BK170" s="465"/>
      <c r="BL170" s="465"/>
      <c r="BM170" s="465"/>
      <c r="BN170" s="465"/>
      <c r="BO170" s="466"/>
      <c r="BP170" s="464"/>
      <c r="BQ170" s="465"/>
      <c r="BR170" s="465"/>
      <c r="BS170" s="465"/>
      <c r="BT170" s="465"/>
      <c r="BU170" s="465"/>
      <c r="BV170" s="465"/>
      <c r="BW170" s="465"/>
      <c r="BX170" s="465"/>
      <c r="BY170" s="465"/>
      <c r="BZ170" s="465"/>
      <c r="CA170" s="465"/>
      <c r="CB170" s="465"/>
      <c r="CC170" s="465"/>
      <c r="CD170" s="465"/>
      <c r="CE170" s="465"/>
      <c r="CF170" s="465"/>
      <c r="CG170" s="465"/>
      <c r="CH170" s="465"/>
      <c r="CI170" s="465"/>
      <c r="CJ170" s="465"/>
      <c r="CK170" s="465"/>
      <c r="CL170" s="465"/>
      <c r="CM170" s="466"/>
      <c r="CN170" s="198"/>
      <c r="CO170" s="198"/>
      <c r="CP170" s="198"/>
      <c r="CQ170" s="98"/>
    </row>
    <row r="171" spans="1:95" s="67" customFormat="1" ht="12.75" hidden="1" customHeight="1">
      <c r="A171" s="416" t="s">
        <v>101</v>
      </c>
      <c r="B171" s="420">
        <v>2141</v>
      </c>
      <c r="C171" s="420">
        <v>119</v>
      </c>
      <c r="D171" s="420"/>
      <c r="E171" s="414">
        <f>E173</f>
        <v>0</v>
      </c>
      <c r="F171" s="421">
        <f t="shared" ref="F171:I171" si="77">F173</f>
        <v>0</v>
      </c>
      <c r="G171" s="414">
        <f t="shared" si="77"/>
        <v>0</v>
      </c>
      <c r="H171" s="414">
        <f t="shared" si="77"/>
        <v>0</v>
      </c>
      <c r="I171" s="414">
        <f t="shared" si="77"/>
        <v>0</v>
      </c>
      <c r="J171" s="414" t="s">
        <v>60</v>
      </c>
      <c r="K171" s="414" t="s">
        <v>60</v>
      </c>
      <c r="M171" s="196"/>
      <c r="N171" s="197"/>
      <c r="O171" s="197"/>
      <c r="P171" s="197"/>
      <c r="Q171" s="197"/>
      <c r="R171" s="197"/>
      <c r="S171" s="197"/>
      <c r="T171" s="464"/>
      <c r="U171" s="465"/>
      <c r="V171" s="465"/>
      <c r="W171" s="465"/>
      <c r="X171" s="465"/>
      <c r="Y171" s="465"/>
      <c r="Z171" s="465"/>
      <c r="AA171" s="465"/>
      <c r="AB171" s="465"/>
      <c r="AC171" s="465"/>
      <c r="AD171" s="465"/>
      <c r="AE171" s="465"/>
      <c r="AF171" s="465"/>
      <c r="AG171" s="465"/>
      <c r="AH171" s="465"/>
      <c r="AI171" s="465"/>
      <c r="AJ171" s="465"/>
      <c r="AK171" s="465"/>
      <c r="AL171" s="465"/>
      <c r="AM171" s="465"/>
      <c r="AN171" s="465"/>
      <c r="AO171" s="465"/>
      <c r="AP171" s="465"/>
      <c r="AQ171" s="466"/>
      <c r="AR171" s="464"/>
      <c r="AS171" s="465"/>
      <c r="AT171" s="465"/>
      <c r="AU171" s="465"/>
      <c r="AV171" s="465"/>
      <c r="AW171" s="465"/>
      <c r="AX171" s="465"/>
      <c r="AY171" s="465"/>
      <c r="AZ171" s="465"/>
      <c r="BA171" s="465"/>
      <c r="BB171" s="465"/>
      <c r="BC171" s="465"/>
      <c r="BD171" s="465"/>
      <c r="BE171" s="465"/>
      <c r="BF171" s="465"/>
      <c r="BG171" s="465"/>
      <c r="BH171" s="465"/>
      <c r="BI171" s="465"/>
      <c r="BJ171" s="465"/>
      <c r="BK171" s="465"/>
      <c r="BL171" s="465"/>
      <c r="BM171" s="465"/>
      <c r="BN171" s="465"/>
      <c r="BO171" s="466"/>
      <c r="BP171" s="464"/>
      <c r="BQ171" s="465"/>
      <c r="BR171" s="465"/>
      <c r="BS171" s="465"/>
      <c r="BT171" s="465"/>
      <c r="BU171" s="465"/>
      <c r="BV171" s="465"/>
      <c r="BW171" s="465"/>
      <c r="BX171" s="465"/>
      <c r="BY171" s="465"/>
      <c r="BZ171" s="465"/>
      <c r="CA171" s="465"/>
      <c r="CB171" s="465"/>
      <c r="CC171" s="465"/>
      <c r="CD171" s="465"/>
      <c r="CE171" s="465"/>
      <c r="CF171" s="465"/>
      <c r="CG171" s="465"/>
      <c r="CH171" s="465"/>
      <c r="CI171" s="465"/>
      <c r="CJ171" s="465"/>
      <c r="CK171" s="465"/>
      <c r="CL171" s="465"/>
      <c r="CM171" s="466"/>
      <c r="CN171" s="198"/>
      <c r="CO171" s="198"/>
      <c r="CP171" s="198"/>
      <c r="CQ171" s="98"/>
    </row>
    <row r="172" spans="1:95" s="67" customFormat="1" ht="12.75" hidden="1" customHeight="1">
      <c r="A172" s="416"/>
      <c r="B172" s="420"/>
      <c r="C172" s="420"/>
      <c r="D172" s="420"/>
      <c r="E172" s="414"/>
      <c r="F172" s="421"/>
      <c r="G172" s="414"/>
      <c r="H172" s="414"/>
      <c r="I172" s="414"/>
      <c r="J172" s="414"/>
      <c r="K172" s="414"/>
      <c r="M172" s="196"/>
      <c r="N172" s="197"/>
      <c r="O172" s="197"/>
      <c r="P172" s="197"/>
      <c r="Q172" s="197"/>
      <c r="R172" s="197"/>
      <c r="S172" s="197"/>
      <c r="T172" s="464"/>
      <c r="U172" s="465"/>
      <c r="V172" s="465"/>
      <c r="W172" s="465"/>
      <c r="X172" s="465"/>
      <c r="Y172" s="465"/>
      <c r="Z172" s="465"/>
      <c r="AA172" s="465"/>
      <c r="AB172" s="465"/>
      <c r="AC172" s="465"/>
      <c r="AD172" s="465"/>
      <c r="AE172" s="465"/>
      <c r="AF172" s="465"/>
      <c r="AG172" s="465"/>
      <c r="AH172" s="465"/>
      <c r="AI172" s="465"/>
      <c r="AJ172" s="465"/>
      <c r="AK172" s="465"/>
      <c r="AL172" s="465"/>
      <c r="AM172" s="465"/>
      <c r="AN172" s="465"/>
      <c r="AO172" s="465"/>
      <c r="AP172" s="465"/>
      <c r="AQ172" s="466"/>
      <c r="AR172" s="464"/>
      <c r="AS172" s="465"/>
      <c r="AT172" s="465"/>
      <c r="AU172" s="465"/>
      <c r="AV172" s="465"/>
      <c r="AW172" s="465"/>
      <c r="AX172" s="465"/>
      <c r="AY172" s="465"/>
      <c r="AZ172" s="465"/>
      <c r="BA172" s="465"/>
      <c r="BB172" s="465"/>
      <c r="BC172" s="465"/>
      <c r="BD172" s="465"/>
      <c r="BE172" s="465"/>
      <c r="BF172" s="465"/>
      <c r="BG172" s="465"/>
      <c r="BH172" s="465"/>
      <c r="BI172" s="465"/>
      <c r="BJ172" s="465"/>
      <c r="BK172" s="465"/>
      <c r="BL172" s="465"/>
      <c r="BM172" s="465"/>
      <c r="BN172" s="465"/>
      <c r="BO172" s="466"/>
      <c r="BP172" s="464"/>
      <c r="BQ172" s="465"/>
      <c r="BR172" s="465"/>
      <c r="BS172" s="465"/>
      <c r="BT172" s="465"/>
      <c r="BU172" s="465"/>
      <c r="BV172" s="465"/>
      <c r="BW172" s="465"/>
      <c r="BX172" s="465"/>
      <c r="BY172" s="465"/>
      <c r="BZ172" s="465"/>
      <c r="CA172" s="465"/>
      <c r="CB172" s="465"/>
      <c r="CC172" s="465"/>
      <c r="CD172" s="465"/>
      <c r="CE172" s="465"/>
      <c r="CF172" s="465"/>
      <c r="CG172" s="465"/>
      <c r="CH172" s="465"/>
      <c r="CI172" s="465"/>
      <c r="CJ172" s="465"/>
      <c r="CK172" s="465"/>
      <c r="CL172" s="465"/>
      <c r="CM172" s="466"/>
      <c r="CN172" s="198"/>
      <c r="CO172" s="198"/>
      <c r="CP172" s="198"/>
      <c r="CQ172" s="98"/>
    </row>
    <row r="173" spans="1:95" s="107" customFormat="1" ht="31.5" hidden="1" customHeight="1">
      <c r="A173" s="131" t="s">
        <v>191</v>
      </c>
      <c r="B173" s="104"/>
      <c r="C173" s="105" t="s">
        <v>179</v>
      </c>
      <c r="D173" s="104">
        <v>213</v>
      </c>
      <c r="E173" s="114">
        <v>0</v>
      </c>
      <c r="F173" s="114"/>
      <c r="G173" s="114">
        <v>0</v>
      </c>
      <c r="H173" s="114">
        <v>0</v>
      </c>
      <c r="I173" s="114">
        <f>H173</f>
        <v>0</v>
      </c>
      <c r="J173" s="104" t="s">
        <v>3</v>
      </c>
      <c r="K173" s="104" t="s">
        <v>3</v>
      </c>
      <c r="L173" s="110"/>
      <c r="M173" s="196"/>
      <c r="N173" s="197"/>
      <c r="O173" s="197"/>
      <c r="P173" s="197"/>
      <c r="Q173" s="197"/>
      <c r="R173" s="197"/>
      <c r="S173" s="197"/>
      <c r="T173" s="464"/>
      <c r="U173" s="465"/>
      <c r="V173" s="465"/>
      <c r="W173" s="465"/>
      <c r="X173" s="465"/>
      <c r="Y173" s="465"/>
      <c r="Z173" s="465"/>
      <c r="AA173" s="465"/>
      <c r="AB173" s="465"/>
      <c r="AC173" s="465"/>
      <c r="AD173" s="465"/>
      <c r="AE173" s="465"/>
      <c r="AF173" s="465"/>
      <c r="AG173" s="465"/>
      <c r="AH173" s="465"/>
      <c r="AI173" s="465"/>
      <c r="AJ173" s="465"/>
      <c r="AK173" s="465"/>
      <c r="AL173" s="465"/>
      <c r="AM173" s="465"/>
      <c r="AN173" s="465"/>
      <c r="AO173" s="465"/>
      <c r="AP173" s="465"/>
      <c r="AQ173" s="466"/>
      <c r="AR173" s="464"/>
      <c r="AS173" s="465"/>
      <c r="AT173" s="465"/>
      <c r="AU173" s="465"/>
      <c r="AV173" s="465"/>
      <c r="AW173" s="465"/>
      <c r="AX173" s="465"/>
      <c r="AY173" s="465"/>
      <c r="AZ173" s="465"/>
      <c r="BA173" s="465"/>
      <c r="BB173" s="465"/>
      <c r="BC173" s="465"/>
      <c r="BD173" s="465"/>
      <c r="BE173" s="465"/>
      <c r="BF173" s="465"/>
      <c r="BG173" s="465"/>
      <c r="BH173" s="465"/>
      <c r="BI173" s="465"/>
      <c r="BJ173" s="465"/>
      <c r="BK173" s="465"/>
      <c r="BL173" s="465"/>
      <c r="BM173" s="465"/>
      <c r="BN173" s="465"/>
      <c r="BO173" s="466"/>
      <c r="BP173" s="464"/>
      <c r="BQ173" s="465"/>
      <c r="BR173" s="465"/>
      <c r="BS173" s="465"/>
      <c r="BT173" s="465"/>
      <c r="BU173" s="465"/>
      <c r="BV173" s="465"/>
      <c r="BW173" s="465"/>
      <c r="BX173" s="465"/>
      <c r="BY173" s="465"/>
      <c r="BZ173" s="465"/>
      <c r="CA173" s="465"/>
      <c r="CB173" s="465"/>
      <c r="CC173" s="465"/>
      <c r="CD173" s="465"/>
      <c r="CE173" s="465"/>
      <c r="CF173" s="465"/>
      <c r="CG173" s="465"/>
      <c r="CH173" s="465"/>
      <c r="CI173" s="465"/>
      <c r="CJ173" s="465"/>
      <c r="CK173" s="465"/>
      <c r="CL173" s="465"/>
      <c r="CM173" s="466"/>
      <c r="CN173" s="198"/>
      <c r="CO173" s="198"/>
      <c r="CP173" s="198"/>
      <c r="CQ173" s="98"/>
    </row>
    <row r="174" spans="1:95" s="119" customFormat="1" ht="18.75" hidden="1" customHeight="1">
      <c r="A174" s="129" t="s">
        <v>176</v>
      </c>
      <c r="B174" s="429" t="s">
        <v>223</v>
      </c>
      <c r="C174" s="429"/>
      <c r="D174" s="429"/>
      <c r="E174" s="117">
        <f>E175</f>
        <v>0</v>
      </c>
      <c r="F174" s="164">
        <f t="shared" ref="F174" si="78">F175</f>
        <v>0</v>
      </c>
      <c r="G174" s="117">
        <f t="shared" ref="G174" si="79">G175</f>
        <v>0</v>
      </c>
      <c r="H174" s="117">
        <f t="shared" ref="H174" si="80">H175</f>
        <v>0</v>
      </c>
      <c r="I174" s="117">
        <f t="shared" ref="I174" si="81">I175</f>
        <v>0</v>
      </c>
      <c r="J174" s="117" t="s">
        <v>3</v>
      </c>
      <c r="K174" s="117" t="s">
        <v>3</v>
      </c>
      <c r="L174" s="118"/>
      <c r="M174" s="196"/>
      <c r="N174" s="197"/>
      <c r="O174" s="197"/>
      <c r="P174" s="197"/>
      <c r="Q174" s="197"/>
      <c r="R174" s="197"/>
      <c r="S174" s="197"/>
      <c r="T174" s="464"/>
      <c r="U174" s="465"/>
      <c r="V174" s="465"/>
      <c r="W174" s="465"/>
      <c r="X174" s="465"/>
      <c r="Y174" s="465"/>
      <c r="Z174" s="465"/>
      <c r="AA174" s="465"/>
      <c r="AB174" s="465"/>
      <c r="AC174" s="465"/>
      <c r="AD174" s="465"/>
      <c r="AE174" s="465"/>
      <c r="AF174" s="465"/>
      <c r="AG174" s="465"/>
      <c r="AH174" s="465"/>
      <c r="AI174" s="465"/>
      <c r="AJ174" s="465"/>
      <c r="AK174" s="465"/>
      <c r="AL174" s="465"/>
      <c r="AM174" s="465"/>
      <c r="AN174" s="465"/>
      <c r="AO174" s="465"/>
      <c r="AP174" s="465"/>
      <c r="AQ174" s="466"/>
      <c r="AR174" s="464"/>
      <c r="AS174" s="465"/>
      <c r="AT174" s="465"/>
      <c r="AU174" s="465"/>
      <c r="AV174" s="465"/>
      <c r="AW174" s="465"/>
      <c r="AX174" s="465"/>
      <c r="AY174" s="465"/>
      <c r="AZ174" s="465"/>
      <c r="BA174" s="465"/>
      <c r="BB174" s="465"/>
      <c r="BC174" s="465"/>
      <c r="BD174" s="465"/>
      <c r="BE174" s="465"/>
      <c r="BF174" s="465"/>
      <c r="BG174" s="465"/>
      <c r="BH174" s="465"/>
      <c r="BI174" s="465"/>
      <c r="BJ174" s="465"/>
      <c r="BK174" s="465"/>
      <c r="BL174" s="465"/>
      <c r="BM174" s="465"/>
      <c r="BN174" s="465"/>
      <c r="BO174" s="466"/>
      <c r="BP174" s="464"/>
      <c r="BQ174" s="465"/>
      <c r="BR174" s="465"/>
      <c r="BS174" s="465"/>
      <c r="BT174" s="465"/>
      <c r="BU174" s="465"/>
      <c r="BV174" s="465"/>
      <c r="BW174" s="465"/>
      <c r="BX174" s="465"/>
      <c r="BY174" s="465"/>
      <c r="BZ174" s="465"/>
      <c r="CA174" s="465"/>
      <c r="CB174" s="465"/>
      <c r="CC174" s="465"/>
      <c r="CD174" s="465"/>
      <c r="CE174" s="465"/>
      <c r="CF174" s="465"/>
      <c r="CG174" s="465"/>
      <c r="CH174" s="465"/>
      <c r="CI174" s="465"/>
      <c r="CJ174" s="465"/>
      <c r="CK174" s="465"/>
      <c r="CL174" s="465"/>
      <c r="CM174" s="466"/>
      <c r="CN174" s="198"/>
      <c r="CO174" s="198"/>
      <c r="CP174" s="198"/>
      <c r="CQ174" s="98"/>
    </row>
    <row r="175" spans="1:95" s="57" customFormat="1" ht="12.75" hidden="1" customHeight="1">
      <c r="A175" s="422" t="s">
        <v>99</v>
      </c>
      <c r="B175" s="423">
        <v>2100</v>
      </c>
      <c r="C175" s="423" t="s">
        <v>60</v>
      </c>
      <c r="D175" s="420"/>
      <c r="E175" s="412">
        <f>E177+E181</f>
        <v>0</v>
      </c>
      <c r="F175" s="413">
        <f t="shared" ref="F175:I175" si="82">F177+F181</f>
        <v>0</v>
      </c>
      <c r="G175" s="412">
        <f t="shared" si="82"/>
        <v>0</v>
      </c>
      <c r="H175" s="412">
        <f t="shared" si="82"/>
        <v>0</v>
      </c>
      <c r="I175" s="412">
        <f t="shared" si="82"/>
        <v>0</v>
      </c>
      <c r="J175" s="412" t="s">
        <v>60</v>
      </c>
      <c r="K175" s="412" t="s">
        <v>60</v>
      </c>
      <c r="M175" s="196"/>
      <c r="N175" s="197"/>
      <c r="O175" s="197"/>
      <c r="P175" s="197"/>
      <c r="Q175" s="197"/>
      <c r="R175" s="197"/>
      <c r="S175" s="197"/>
      <c r="T175" s="464"/>
      <c r="U175" s="465"/>
      <c r="V175" s="465"/>
      <c r="W175" s="465"/>
      <c r="X175" s="465"/>
      <c r="Y175" s="465"/>
      <c r="Z175" s="465"/>
      <c r="AA175" s="465"/>
      <c r="AB175" s="465"/>
      <c r="AC175" s="465"/>
      <c r="AD175" s="465"/>
      <c r="AE175" s="465"/>
      <c r="AF175" s="465"/>
      <c r="AG175" s="465"/>
      <c r="AH175" s="465"/>
      <c r="AI175" s="465"/>
      <c r="AJ175" s="465"/>
      <c r="AK175" s="465"/>
      <c r="AL175" s="465"/>
      <c r="AM175" s="465"/>
      <c r="AN175" s="465"/>
      <c r="AO175" s="465"/>
      <c r="AP175" s="465"/>
      <c r="AQ175" s="466"/>
      <c r="AR175" s="464"/>
      <c r="AS175" s="465"/>
      <c r="AT175" s="465"/>
      <c r="AU175" s="465"/>
      <c r="AV175" s="465"/>
      <c r="AW175" s="465"/>
      <c r="AX175" s="465"/>
      <c r="AY175" s="465"/>
      <c r="AZ175" s="465"/>
      <c r="BA175" s="465"/>
      <c r="BB175" s="465"/>
      <c r="BC175" s="465"/>
      <c r="BD175" s="465"/>
      <c r="BE175" s="465"/>
      <c r="BF175" s="465"/>
      <c r="BG175" s="465"/>
      <c r="BH175" s="465"/>
      <c r="BI175" s="465"/>
      <c r="BJ175" s="465"/>
      <c r="BK175" s="465"/>
      <c r="BL175" s="465"/>
      <c r="BM175" s="465"/>
      <c r="BN175" s="465"/>
      <c r="BO175" s="466"/>
      <c r="BP175" s="464"/>
      <c r="BQ175" s="465"/>
      <c r="BR175" s="465"/>
      <c r="BS175" s="465"/>
      <c r="BT175" s="465"/>
      <c r="BU175" s="465"/>
      <c r="BV175" s="465"/>
      <c r="BW175" s="465"/>
      <c r="BX175" s="465"/>
      <c r="BY175" s="465"/>
      <c r="BZ175" s="465"/>
      <c r="CA175" s="465"/>
      <c r="CB175" s="465"/>
      <c r="CC175" s="465"/>
      <c r="CD175" s="465"/>
      <c r="CE175" s="465"/>
      <c r="CF175" s="465"/>
      <c r="CG175" s="465"/>
      <c r="CH175" s="465"/>
      <c r="CI175" s="465"/>
      <c r="CJ175" s="465"/>
      <c r="CK175" s="465"/>
      <c r="CL175" s="465"/>
      <c r="CM175" s="466"/>
      <c r="CN175" s="198"/>
      <c r="CO175" s="198"/>
      <c r="CP175" s="198"/>
      <c r="CQ175" s="98"/>
    </row>
    <row r="176" spans="1:95" s="57" customFormat="1" ht="12.75" hidden="1" customHeight="1">
      <c r="A176" s="422"/>
      <c r="B176" s="423"/>
      <c r="C176" s="423"/>
      <c r="D176" s="420"/>
      <c r="E176" s="412"/>
      <c r="F176" s="413"/>
      <c r="G176" s="412"/>
      <c r="H176" s="412"/>
      <c r="I176" s="412"/>
      <c r="J176" s="412"/>
      <c r="K176" s="412"/>
      <c r="M176" s="196"/>
      <c r="N176" s="197"/>
      <c r="O176" s="197"/>
      <c r="P176" s="197"/>
      <c r="Q176" s="197"/>
      <c r="R176" s="197"/>
      <c r="S176" s="197"/>
      <c r="T176" s="464"/>
      <c r="U176" s="465"/>
      <c r="V176" s="465"/>
      <c r="W176" s="465"/>
      <c r="X176" s="465"/>
      <c r="Y176" s="465"/>
      <c r="Z176" s="465"/>
      <c r="AA176" s="465"/>
      <c r="AB176" s="465"/>
      <c r="AC176" s="465"/>
      <c r="AD176" s="465"/>
      <c r="AE176" s="465"/>
      <c r="AF176" s="465"/>
      <c r="AG176" s="465"/>
      <c r="AH176" s="465"/>
      <c r="AI176" s="465"/>
      <c r="AJ176" s="465"/>
      <c r="AK176" s="465"/>
      <c r="AL176" s="465"/>
      <c r="AM176" s="465"/>
      <c r="AN176" s="465"/>
      <c r="AO176" s="465"/>
      <c r="AP176" s="465"/>
      <c r="AQ176" s="466"/>
      <c r="AR176" s="464"/>
      <c r="AS176" s="465"/>
      <c r="AT176" s="465"/>
      <c r="AU176" s="465"/>
      <c r="AV176" s="465"/>
      <c r="AW176" s="465"/>
      <c r="AX176" s="465"/>
      <c r="AY176" s="465"/>
      <c r="AZ176" s="465"/>
      <c r="BA176" s="465"/>
      <c r="BB176" s="465"/>
      <c r="BC176" s="465"/>
      <c r="BD176" s="465"/>
      <c r="BE176" s="465"/>
      <c r="BF176" s="465"/>
      <c r="BG176" s="465"/>
      <c r="BH176" s="465"/>
      <c r="BI176" s="465"/>
      <c r="BJ176" s="465"/>
      <c r="BK176" s="465"/>
      <c r="BL176" s="465"/>
      <c r="BM176" s="465"/>
      <c r="BN176" s="465"/>
      <c r="BO176" s="466"/>
      <c r="BP176" s="464"/>
      <c r="BQ176" s="465"/>
      <c r="BR176" s="465"/>
      <c r="BS176" s="465"/>
      <c r="BT176" s="465"/>
      <c r="BU176" s="465"/>
      <c r="BV176" s="465"/>
      <c r="BW176" s="465"/>
      <c r="BX176" s="465"/>
      <c r="BY176" s="465"/>
      <c r="BZ176" s="465"/>
      <c r="CA176" s="465"/>
      <c r="CB176" s="465"/>
      <c r="CC176" s="465"/>
      <c r="CD176" s="465"/>
      <c r="CE176" s="465"/>
      <c r="CF176" s="465"/>
      <c r="CG176" s="465"/>
      <c r="CH176" s="465"/>
      <c r="CI176" s="465"/>
      <c r="CJ176" s="465"/>
      <c r="CK176" s="465"/>
      <c r="CL176" s="465"/>
      <c r="CM176" s="466"/>
      <c r="CN176" s="198"/>
      <c r="CO176" s="198"/>
      <c r="CP176" s="198"/>
      <c r="CQ176" s="98"/>
    </row>
    <row r="177" spans="1:95" s="57" customFormat="1" ht="12.75" hidden="1" customHeight="1">
      <c r="A177" s="422" t="s">
        <v>100</v>
      </c>
      <c r="B177" s="423">
        <v>2110</v>
      </c>
      <c r="C177" s="423">
        <v>111</v>
      </c>
      <c r="D177" s="420"/>
      <c r="E177" s="412">
        <f>SUM(E180:E180)</f>
        <v>0</v>
      </c>
      <c r="F177" s="413">
        <f>SUM(F180:F180)</f>
        <v>0</v>
      </c>
      <c r="G177" s="412">
        <f>SUM(G180:G180)</f>
        <v>0</v>
      </c>
      <c r="H177" s="412">
        <f>SUM(H180:H180)</f>
        <v>0</v>
      </c>
      <c r="I177" s="412">
        <f>SUM(I180:I180)</f>
        <v>0</v>
      </c>
      <c r="J177" s="412" t="s">
        <v>60</v>
      </c>
      <c r="K177" s="412" t="s">
        <v>60</v>
      </c>
      <c r="M177" s="196"/>
      <c r="N177" s="197"/>
      <c r="O177" s="197"/>
      <c r="P177" s="197"/>
      <c r="Q177" s="197"/>
      <c r="R177" s="197"/>
      <c r="S177" s="197"/>
      <c r="T177" s="464"/>
      <c r="U177" s="465"/>
      <c r="V177" s="465"/>
      <c r="W177" s="465"/>
      <c r="X177" s="465"/>
      <c r="Y177" s="465"/>
      <c r="Z177" s="465"/>
      <c r="AA177" s="465"/>
      <c r="AB177" s="465"/>
      <c r="AC177" s="465"/>
      <c r="AD177" s="465"/>
      <c r="AE177" s="465"/>
      <c r="AF177" s="465"/>
      <c r="AG177" s="465"/>
      <c r="AH177" s="465"/>
      <c r="AI177" s="465"/>
      <c r="AJ177" s="465"/>
      <c r="AK177" s="465"/>
      <c r="AL177" s="465"/>
      <c r="AM177" s="465"/>
      <c r="AN177" s="465"/>
      <c r="AO177" s="465"/>
      <c r="AP177" s="465"/>
      <c r="AQ177" s="466"/>
      <c r="AR177" s="464"/>
      <c r="AS177" s="465"/>
      <c r="AT177" s="465"/>
      <c r="AU177" s="465"/>
      <c r="AV177" s="465"/>
      <c r="AW177" s="465"/>
      <c r="AX177" s="465"/>
      <c r="AY177" s="465"/>
      <c r="AZ177" s="465"/>
      <c r="BA177" s="465"/>
      <c r="BB177" s="465"/>
      <c r="BC177" s="465"/>
      <c r="BD177" s="465"/>
      <c r="BE177" s="465"/>
      <c r="BF177" s="465"/>
      <c r="BG177" s="465"/>
      <c r="BH177" s="465"/>
      <c r="BI177" s="465"/>
      <c r="BJ177" s="465"/>
      <c r="BK177" s="465"/>
      <c r="BL177" s="465"/>
      <c r="BM177" s="465"/>
      <c r="BN177" s="465"/>
      <c r="BO177" s="466"/>
      <c r="BP177" s="464"/>
      <c r="BQ177" s="465"/>
      <c r="BR177" s="465"/>
      <c r="BS177" s="465"/>
      <c r="BT177" s="465"/>
      <c r="BU177" s="465"/>
      <c r="BV177" s="465"/>
      <c r="BW177" s="465"/>
      <c r="BX177" s="465"/>
      <c r="BY177" s="465"/>
      <c r="BZ177" s="465"/>
      <c r="CA177" s="465"/>
      <c r="CB177" s="465"/>
      <c r="CC177" s="465"/>
      <c r="CD177" s="465"/>
      <c r="CE177" s="465"/>
      <c r="CF177" s="465"/>
      <c r="CG177" s="465"/>
      <c r="CH177" s="465"/>
      <c r="CI177" s="465"/>
      <c r="CJ177" s="465"/>
      <c r="CK177" s="465"/>
      <c r="CL177" s="465"/>
      <c r="CM177" s="466"/>
      <c r="CN177" s="198"/>
      <c r="CO177" s="198"/>
      <c r="CP177" s="198"/>
      <c r="CQ177" s="98"/>
    </row>
    <row r="178" spans="1:95" s="57" customFormat="1" ht="12.75" hidden="1" customHeight="1">
      <c r="A178" s="422"/>
      <c r="B178" s="423"/>
      <c r="C178" s="423"/>
      <c r="D178" s="420"/>
      <c r="E178" s="412"/>
      <c r="F178" s="413"/>
      <c r="G178" s="412"/>
      <c r="H178" s="412"/>
      <c r="I178" s="412"/>
      <c r="J178" s="412"/>
      <c r="K178" s="412"/>
      <c r="L178" s="111"/>
      <c r="M178" s="196"/>
      <c r="N178" s="197"/>
      <c r="O178" s="197"/>
      <c r="P178" s="197"/>
      <c r="Q178" s="197"/>
      <c r="R178" s="197"/>
      <c r="S178" s="197"/>
      <c r="T178" s="464"/>
      <c r="U178" s="465"/>
      <c r="V178" s="465"/>
      <c r="W178" s="465"/>
      <c r="X178" s="465"/>
      <c r="Y178" s="465"/>
      <c r="Z178" s="465"/>
      <c r="AA178" s="465"/>
      <c r="AB178" s="465"/>
      <c r="AC178" s="465"/>
      <c r="AD178" s="465"/>
      <c r="AE178" s="465"/>
      <c r="AF178" s="465"/>
      <c r="AG178" s="465"/>
      <c r="AH178" s="465"/>
      <c r="AI178" s="465"/>
      <c r="AJ178" s="465"/>
      <c r="AK178" s="465"/>
      <c r="AL178" s="465"/>
      <c r="AM178" s="465"/>
      <c r="AN178" s="465"/>
      <c r="AO178" s="465"/>
      <c r="AP178" s="465"/>
      <c r="AQ178" s="466"/>
      <c r="AR178" s="464"/>
      <c r="AS178" s="465"/>
      <c r="AT178" s="465"/>
      <c r="AU178" s="465"/>
      <c r="AV178" s="465"/>
      <c r="AW178" s="465"/>
      <c r="AX178" s="465"/>
      <c r="AY178" s="465"/>
      <c r="AZ178" s="465"/>
      <c r="BA178" s="465"/>
      <c r="BB178" s="465"/>
      <c r="BC178" s="465"/>
      <c r="BD178" s="465"/>
      <c r="BE178" s="465"/>
      <c r="BF178" s="465"/>
      <c r="BG178" s="465"/>
      <c r="BH178" s="465"/>
      <c r="BI178" s="465"/>
      <c r="BJ178" s="465"/>
      <c r="BK178" s="465"/>
      <c r="BL178" s="465"/>
      <c r="BM178" s="465"/>
      <c r="BN178" s="465"/>
      <c r="BO178" s="466"/>
      <c r="BP178" s="464"/>
      <c r="BQ178" s="465"/>
      <c r="BR178" s="465"/>
      <c r="BS178" s="465"/>
      <c r="BT178" s="465"/>
      <c r="BU178" s="465"/>
      <c r="BV178" s="465"/>
      <c r="BW178" s="465"/>
      <c r="BX178" s="465"/>
      <c r="BY178" s="465"/>
      <c r="BZ178" s="465"/>
      <c r="CA178" s="465"/>
      <c r="CB178" s="465"/>
      <c r="CC178" s="465"/>
      <c r="CD178" s="465"/>
      <c r="CE178" s="465"/>
      <c r="CF178" s="465"/>
      <c r="CG178" s="465"/>
      <c r="CH178" s="465"/>
      <c r="CI178" s="465"/>
      <c r="CJ178" s="465"/>
      <c r="CK178" s="465"/>
      <c r="CL178" s="465"/>
      <c r="CM178" s="466"/>
      <c r="CN178" s="198"/>
      <c r="CO178" s="198"/>
      <c r="CP178" s="198"/>
      <c r="CQ178" s="98"/>
    </row>
    <row r="179" spans="1:95" s="103" customFormat="1" ht="15.75" hidden="1" customHeight="1">
      <c r="A179" s="130" t="s">
        <v>189</v>
      </c>
      <c r="B179" s="99"/>
      <c r="C179" s="100"/>
      <c r="D179" s="104"/>
      <c r="E179" s="101"/>
      <c r="F179" s="101"/>
      <c r="G179" s="102"/>
      <c r="H179" s="99"/>
      <c r="I179" s="99"/>
      <c r="J179" s="99"/>
      <c r="K179" s="99"/>
      <c r="L179" s="109"/>
      <c r="M179" s="196"/>
      <c r="N179" s="197"/>
      <c r="O179" s="197"/>
      <c r="P179" s="197"/>
      <c r="Q179" s="197"/>
      <c r="R179" s="197"/>
      <c r="S179" s="197"/>
      <c r="T179" s="464"/>
      <c r="U179" s="465"/>
      <c r="V179" s="465"/>
      <c r="W179" s="465"/>
      <c r="X179" s="465"/>
      <c r="Y179" s="465"/>
      <c r="Z179" s="465"/>
      <c r="AA179" s="465"/>
      <c r="AB179" s="465"/>
      <c r="AC179" s="465"/>
      <c r="AD179" s="465"/>
      <c r="AE179" s="465"/>
      <c r="AF179" s="465"/>
      <c r="AG179" s="465"/>
      <c r="AH179" s="465"/>
      <c r="AI179" s="465"/>
      <c r="AJ179" s="465"/>
      <c r="AK179" s="465"/>
      <c r="AL179" s="465"/>
      <c r="AM179" s="465"/>
      <c r="AN179" s="465"/>
      <c r="AO179" s="465"/>
      <c r="AP179" s="465"/>
      <c r="AQ179" s="466"/>
      <c r="AR179" s="464"/>
      <c r="AS179" s="465"/>
      <c r="AT179" s="465"/>
      <c r="AU179" s="465"/>
      <c r="AV179" s="465"/>
      <c r="AW179" s="465"/>
      <c r="AX179" s="465"/>
      <c r="AY179" s="465"/>
      <c r="AZ179" s="465"/>
      <c r="BA179" s="465"/>
      <c r="BB179" s="465"/>
      <c r="BC179" s="465"/>
      <c r="BD179" s="465"/>
      <c r="BE179" s="465"/>
      <c r="BF179" s="465"/>
      <c r="BG179" s="465"/>
      <c r="BH179" s="465"/>
      <c r="BI179" s="465"/>
      <c r="BJ179" s="465"/>
      <c r="BK179" s="465"/>
      <c r="BL179" s="465"/>
      <c r="BM179" s="465"/>
      <c r="BN179" s="465"/>
      <c r="BO179" s="466"/>
      <c r="BP179" s="464"/>
      <c r="BQ179" s="465"/>
      <c r="BR179" s="465"/>
      <c r="BS179" s="465"/>
      <c r="BT179" s="465"/>
      <c r="BU179" s="465"/>
      <c r="BV179" s="465"/>
      <c r="BW179" s="465"/>
      <c r="BX179" s="465"/>
      <c r="BY179" s="465"/>
      <c r="BZ179" s="465"/>
      <c r="CA179" s="465"/>
      <c r="CB179" s="465"/>
      <c r="CC179" s="465"/>
      <c r="CD179" s="465"/>
      <c r="CE179" s="465"/>
      <c r="CF179" s="465"/>
      <c r="CG179" s="465"/>
      <c r="CH179" s="465"/>
      <c r="CI179" s="465"/>
      <c r="CJ179" s="465"/>
      <c r="CK179" s="465"/>
      <c r="CL179" s="465"/>
      <c r="CM179" s="466"/>
      <c r="CN179" s="198"/>
      <c r="CO179" s="198"/>
      <c r="CP179" s="198"/>
      <c r="CQ179" s="98"/>
    </row>
    <row r="180" spans="1:95" s="107" customFormat="1" ht="15.75" hidden="1" customHeight="1">
      <c r="A180" s="131" t="s">
        <v>190</v>
      </c>
      <c r="B180" s="104"/>
      <c r="C180" s="105" t="s">
        <v>179</v>
      </c>
      <c r="D180" s="104">
        <v>211</v>
      </c>
      <c r="E180" s="120">
        <v>0</v>
      </c>
      <c r="F180" s="114">
        <v>0</v>
      </c>
      <c r="G180" s="113">
        <f>F180</f>
        <v>0</v>
      </c>
      <c r="H180" s="114">
        <f>G180</f>
        <v>0</v>
      </c>
      <c r="I180" s="114">
        <f>H180</f>
        <v>0</v>
      </c>
      <c r="J180" s="104" t="s">
        <v>3</v>
      </c>
      <c r="K180" s="104" t="s">
        <v>3</v>
      </c>
      <c r="L180" s="110"/>
      <c r="M180" s="196"/>
      <c r="N180" s="197"/>
      <c r="O180" s="197"/>
      <c r="P180" s="197"/>
      <c r="Q180" s="197"/>
      <c r="R180" s="197"/>
      <c r="S180" s="197"/>
      <c r="T180" s="464"/>
      <c r="U180" s="465"/>
      <c r="V180" s="465"/>
      <c r="W180" s="465"/>
      <c r="X180" s="465"/>
      <c r="Y180" s="465"/>
      <c r="Z180" s="465"/>
      <c r="AA180" s="465"/>
      <c r="AB180" s="465"/>
      <c r="AC180" s="465"/>
      <c r="AD180" s="465"/>
      <c r="AE180" s="465"/>
      <c r="AF180" s="465"/>
      <c r="AG180" s="465"/>
      <c r="AH180" s="465"/>
      <c r="AI180" s="465"/>
      <c r="AJ180" s="465"/>
      <c r="AK180" s="465"/>
      <c r="AL180" s="465"/>
      <c r="AM180" s="465"/>
      <c r="AN180" s="465"/>
      <c r="AO180" s="465"/>
      <c r="AP180" s="465"/>
      <c r="AQ180" s="466"/>
      <c r="AR180" s="464"/>
      <c r="AS180" s="465"/>
      <c r="AT180" s="465"/>
      <c r="AU180" s="465"/>
      <c r="AV180" s="465"/>
      <c r="AW180" s="465"/>
      <c r="AX180" s="465"/>
      <c r="AY180" s="465"/>
      <c r="AZ180" s="465"/>
      <c r="BA180" s="465"/>
      <c r="BB180" s="465"/>
      <c r="BC180" s="465"/>
      <c r="BD180" s="465"/>
      <c r="BE180" s="465"/>
      <c r="BF180" s="465"/>
      <c r="BG180" s="465"/>
      <c r="BH180" s="465"/>
      <c r="BI180" s="465"/>
      <c r="BJ180" s="465"/>
      <c r="BK180" s="465"/>
      <c r="BL180" s="465"/>
      <c r="BM180" s="465"/>
      <c r="BN180" s="465"/>
      <c r="BO180" s="466"/>
      <c r="BP180" s="464"/>
      <c r="BQ180" s="465"/>
      <c r="BR180" s="465"/>
      <c r="BS180" s="465"/>
      <c r="BT180" s="465"/>
      <c r="BU180" s="465"/>
      <c r="BV180" s="465"/>
      <c r="BW180" s="465"/>
      <c r="BX180" s="465"/>
      <c r="BY180" s="465"/>
      <c r="BZ180" s="465"/>
      <c r="CA180" s="465"/>
      <c r="CB180" s="465"/>
      <c r="CC180" s="465"/>
      <c r="CD180" s="465"/>
      <c r="CE180" s="465"/>
      <c r="CF180" s="465"/>
      <c r="CG180" s="465"/>
      <c r="CH180" s="465"/>
      <c r="CI180" s="465"/>
      <c r="CJ180" s="465"/>
      <c r="CK180" s="465"/>
      <c r="CL180" s="465"/>
      <c r="CM180" s="466"/>
      <c r="CN180" s="198"/>
      <c r="CO180" s="198"/>
      <c r="CP180" s="198"/>
      <c r="CQ180" s="98"/>
    </row>
    <row r="181" spans="1:95" s="57" customFormat="1" ht="78.75" hidden="1" customHeight="1">
      <c r="A181" s="80" t="s">
        <v>72</v>
      </c>
      <c r="B181" s="79">
        <v>2140</v>
      </c>
      <c r="C181" s="79">
        <v>119</v>
      </c>
      <c r="D181" s="76"/>
      <c r="E181" s="81">
        <f>E182</f>
        <v>0</v>
      </c>
      <c r="F181" s="166">
        <f t="shared" ref="F181" si="83">F182</f>
        <v>0</v>
      </c>
      <c r="G181" s="81">
        <f t="shared" ref="G181" si="84">G182</f>
        <v>0</v>
      </c>
      <c r="H181" s="81">
        <f t="shared" ref="H181" si="85">H182</f>
        <v>0</v>
      </c>
      <c r="I181" s="81">
        <f t="shared" ref="I181" si="86">I182</f>
        <v>0</v>
      </c>
      <c r="J181" s="81" t="s">
        <v>60</v>
      </c>
      <c r="K181" s="172" t="s">
        <v>60</v>
      </c>
      <c r="M181" s="196"/>
      <c r="N181" s="197"/>
      <c r="O181" s="197"/>
      <c r="P181" s="197"/>
      <c r="Q181" s="197"/>
      <c r="R181" s="197"/>
      <c r="S181" s="197"/>
      <c r="T181" s="464"/>
      <c r="U181" s="465"/>
      <c r="V181" s="465"/>
      <c r="W181" s="465"/>
      <c r="X181" s="465"/>
      <c r="Y181" s="465"/>
      <c r="Z181" s="465"/>
      <c r="AA181" s="465"/>
      <c r="AB181" s="465"/>
      <c r="AC181" s="465"/>
      <c r="AD181" s="465"/>
      <c r="AE181" s="465"/>
      <c r="AF181" s="465"/>
      <c r="AG181" s="465"/>
      <c r="AH181" s="465"/>
      <c r="AI181" s="465"/>
      <c r="AJ181" s="465"/>
      <c r="AK181" s="465"/>
      <c r="AL181" s="465"/>
      <c r="AM181" s="465"/>
      <c r="AN181" s="465"/>
      <c r="AO181" s="465"/>
      <c r="AP181" s="465"/>
      <c r="AQ181" s="466"/>
      <c r="AR181" s="464"/>
      <c r="AS181" s="465"/>
      <c r="AT181" s="465"/>
      <c r="AU181" s="465"/>
      <c r="AV181" s="465"/>
      <c r="AW181" s="465"/>
      <c r="AX181" s="465"/>
      <c r="AY181" s="465"/>
      <c r="AZ181" s="465"/>
      <c r="BA181" s="465"/>
      <c r="BB181" s="465"/>
      <c r="BC181" s="465"/>
      <c r="BD181" s="465"/>
      <c r="BE181" s="465"/>
      <c r="BF181" s="465"/>
      <c r="BG181" s="465"/>
      <c r="BH181" s="465"/>
      <c r="BI181" s="465"/>
      <c r="BJ181" s="465"/>
      <c r="BK181" s="465"/>
      <c r="BL181" s="465"/>
      <c r="BM181" s="465"/>
      <c r="BN181" s="465"/>
      <c r="BO181" s="466"/>
      <c r="BP181" s="464"/>
      <c r="BQ181" s="465"/>
      <c r="BR181" s="465"/>
      <c r="BS181" s="465"/>
      <c r="BT181" s="465"/>
      <c r="BU181" s="465"/>
      <c r="BV181" s="465"/>
      <c r="BW181" s="465"/>
      <c r="BX181" s="465"/>
      <c r="BY181" s="465"/>
      <c r="BZ181" s="465"/>
      <c r="CA181" s="465"/>
      <c r="CB181" s="465"/>
      <c r="CC181" s="465"/>
      <c r="CD181" s="465"/>
      <c r="CE181" s="465"/>
      <c r="CF181" s="465"/>
      <c r="CG181" s="465"/>
      <c r="CH181" s="465"/>
      <c r="CI181" s="465"/>
      <c r="CJ181" s="465"/>
      <c r="CK181" s="465"/>
      <c r="CL181" s="465"/>
      <c r="CM181" s="466"/>
      <c r="CN181" s="198"/>
      <c r="CO181" s="198"/>
      <c r="CP181" s="198"/>
      <c r="CQ181" s="98"/>
    </row>
    <row r="182" spans="1:95" s="67" customFormat="1" ht="12.75" hidden="1" customHeight="1">
      <c r="A182" s="416" t="s">
        <v>101</v>
      </c>
      <c r="B182" s="420">
        <v>2141</v>
      </c>
      <c r="C182" s="420">
        <v>119</v>
      </c>
      <c r="D182" s="420"/>
      <c r="E182" s="414">
        <f>E184</f>
        <v>0</v>
      </c>
      <c r="F182" s="421">
        <f t="shared" ref="F182:I182" si="87">F184</f>
        <v>0</v>
      </c>
      <c r="G182" s="414">
        <f t="shared" si="87"/>
        <v>0</v>
      </c>
      <c r="H182" s="414">
        <f t="shared" si="87"/>
        <v>0</v>
      </c>
      <c r="I182" s="414">
        <f t="shared" si="87"/>
        <v>0</v>
      </c>
      <c r="J182" s="414" t="s">
        <v>60</v>
      </c>
      <c r="K182" s="414" t="s">
        <v>60</v>
      </c>
      <c r="M182" s="196"/>
      <c r="N182" s="197"/>
      <c r="O182" s="197"/>
      <c r="P182" s="197"/>
      <c r="Q182" s="197"/>
      <c r="R182" s="197"/>
      <c r="S182" s="197"/>
      <c r="T182" s="464"/>
      <c r="U182" s="465"/>
      <c r="V182" s="465"/>
      <c r="W182" s="465"/>
      <c r="X182" s="465"/>
      <c r="Y182" s="465"/>
      <c r="Z182" s="465"/>
      <c r="AA182" s="465"/>
      <c r="AB182" s="465"/>
      <c r="AC182" s="465"/>
      <c r="AD182" s="465"/>
      <c r="AE182" s="465"/>
      <c r="AF182" s="465"/>
      <c r="AG182" s="465"/>
      <c r="AH182" s="465"/>
      <c r="AI182" s="465"/>
      <c r="AJ182" s="465"/>
      <c r="AK182" s="465"/>
      <c r="AL182" s="465"/>
      <c r="AM182" s="465"/>
      <c r="AN182" s="465"/>
      <c r="AO182" s="465"/>
      <c r="AP182" s="465"/>
      <c r="AQ182" s="466"/>
      <c r="AR182" s="464"/>
      <c r="AS182" s="465"/>
      <c r="AT182" s="465"/>
      <c r="AU182" s="465"/>
      <c r="AV182" s="465"/>
      <c r="AW182" s="465"/>
      <c r="AX182" s="465"/>
      <c r="AY182" s="465"/>
      <c r="AZ182" s="465"/>
      <c r="BA182" s="465"/>
      <c r="BB182" s="465"/>
      <c r="BC182" s="465"/>
      <c r="BD182" s="465"/>
      <c r="BE182" s="465"/>
      <c r="BF182" s="465"/>
      <c r="BG182" s="465"/>
      <c r="BH182" s="465"/>
      <c r="BI182" s="465"/>
      <c r="BJ182" s="465"/>
      <c r="BK182" s="465"/>
      <c r="BL182" s="465"/>
      <c r="BM182" s="465"/>
      <c r="BN182" s="465"/>
      <c r="BO182" s="466"/>
      <c r="BP182" s="464"/>
      <c r="BQ182" s="465"/>
      <c r="BR182" s="465"/>
      <c r="BS182" s="465"/>
      <c r="BT182" s="465"/>
      <c r="BU182" s="465"/>
      <c r="BV182" s="465"/>
      <c r="BW182" s="465"/>
      <c r="BX182" s="465"/>
      <c r="BY182" s="465"/>
      <c r="BZ182" s="465"/>
      <c r="CA182" s="465"/>
      <c r="CB182" s="465"/>
      <c r="CC182" s="465"/>
      <c r="CD182" s="465"/>
      <c r="CE182" s="465"/>
      <c r="CF182" s="465"/>
      <c r="CG182" s="465"/>
      <c r="CH182" s="465"/>
      <c r="CI182" s="465"/>
      <c r="CJ182" s="465"/>
      <c r="CK182" s="465"/>
      <c r="CL182" s="465"/>
      <c r="CM182" s="466"/>
      <c r="CN182" s="198"/>
      <c r="CO182" s="198"/>
      <c r="CP182" s="198"/>
      <c r="CQ182" s="98"/>
    </row>
    <row r="183" spans="1:95" s="67" customFormat="1" ht="12.75" hidden="1" customHeight="1">
      <c r="A183" s="416"/>
      <c r="B183" s="420"/>
      <c r="C183" s="420"/>
      <c r="D183" s="420"/>
      <c r="E183" s="414"/>
      <c r="F183" s="421"/>
      <c r="G183" s="414"/>
      <c r="H183" s="414"/>
      <c r="I183" s="414"/>
      <c r="J183" s="414"/>
      <c r="K183" s="414"/>
      <c r="M183" s="196"/>
      <c r="N183" s="197"/>
      <c r="O183" s="197"/>
      <c r="P183" s="197"/>
      <c r="Q183" s="197"/>
      <c r="R183" s="197"/>
      <c r="S183" s="197"/>
      <c r="T183" s="464"/>
      <c r="U183" s="465"/>
      <c r="V183" s="465"/>
      <c r="W183" s="465"/>
      <c r="X183" s="465"/>
      <c r="Y183" s="465"/>
      <c r="Z183" s="465"/>
      <c r="AA183" s="465"/>
      <c r="AB183" s="465"/>
      <c r="AC183" s="465"/>
      <c r="AD183" s="465"/>
      <c r="AE183" s="465"/>
      <c r="AF183" s="465"/>
      <c r="AG183" s="465"/>
      <c r="AH183" s="465"/>
      <c r="AI183" s="465"/>
      <c r="AJ183" s="465"/>
      <c r="AK183" s="465"/>
      <c r="AL183" s="465"/>
      <c r="AM183" s="465"/>
      <c r="AN183" s="465"/>
      <c r="AO183" s="465"/>
      <c r="AP183" s="465"/>
      <c r="AQ183" s="466"/>
      <c r="AR183" s="464"/>
      <c r="AS183" s="465"/>
      <c r="AT183" s="465"/>
      <c r="AU183" s="465"/>
      <c r="AV183" s="465"/>
      <c r="AW183" s="465"/>
      <c r="AX183" s="465"/>
      <c r="AY183" s="465"/>
      <c r="AZ183" s="465"/>
      <c r="BA183" s="465"/>
      <c r="BB183" s="465"/>
      <c r="BC183" s="465"/>
      <c r="BD183" s="465"/>
      <c r="BE183" s="465"/>
      <c r="BF183" s="465"/>
      <c r="BG183" s="465"/>
      <c r="BH183" s="465"/>
      <c r="BI183" s="465"/>
      <c r="BJ183" s="465"/>
      <c r="BK183" s="465"/>
      <c r="BL183" s="465"/>
      <c r="BM183" s="465"/>
      <c r="BN183" s="465"/>
      <c r="BO183" s="466"/>
      <c r="BP183" s="464"/>
      <c r="BQ183" s="465"/>
      <c r="BR183" s="465"/>
      <c r="BS183" s="465"/>
      <c r="BT183" s="465"/>
      <c r="BU183" s="465"/>
      <c r="BV183" s="465"/>
      <c r="BW183" s="465"/>
      <c r="BX183" s="465"/>
      <c r="BY183" s="465"/>
      <c r="BZ183" s="465"/>
      <c r="CA183" s="465"/>
      <c r="CB183" s="465"/>
      <c r="CC183" s="465"/>
      <c r="CD183" s="465"/>
      <c r="CE183" s="465"/>
      <c r="CF183" s="465"/>
      <c r="CG183" s="465"/>
      <c r="CH183" s="465"/>
      <c r="CI183" s="465"/>
      <c r="CJ183" s="465"/>
      <c r="CK183" s="465"/>
      <c r="CL183" s="465"/>
      <c r="CM183" s="466"/>
      <c r="CN183" s="198"/>
      <c r="CO183" s="198"/>
      <c r="CP183" s="198"/>
      <c r="CQ183" s="98"/>
    </row>
    <row r="184" spans="1:95" s="107" customFormat="1" ht="31.5" hidden="1" customHeight="1">
      <c r="A184" s="131" t="s">
        <v>191</v>
      </c>
      <c r="B184" s="104"/>
      <c r="C184" s="105" t="s">
        <v>179</v>
      </c>
      <c r="D184" s="104">
        <v>213</v>
      </c>
      <c r="E184" s="114">
        <v>0</v>
      </c>
      <c r="F184" s="114">
        <v>0</v>
      </c>
      <c r="G184" s="113">
        <f>F184</f>
        <v>0</v>
      </c>
      <c r="H184" s="114">
        <f>G184</f>
        <v>0</v>
      </c>
      <c r="I184" s="114">
        <f>H184</f>
        <v>0</v>
      </c>
      <c r="J184" s="104" t="s">
        <v>3</v>
      </c>
      <c r="K184" s="104" t="s">
        <v>3</v>
      </c>
      <c r="L184" s="110"/>
      <c r="M184" s="196"/>
      <c r="N184" s="197"/>
      <c r="O184" s="197"/>
      <c r="P184" s="197"/>
      <c r="Q184" s="197"/>
      <c r="R184" s="197"/>
      <c r="S184" s="197"/>
      <c r="T184" s="464"/>
      <c r="U184" s="465"/>
      <c r="V184" s="465"/>
      <c r="W184" s="465"/>
      <c r="X184" s="465"/>
      <c r="Y184" s="465"/>
      <c r="Z184" s="465"/>
      <c r="AA184" s="465"/>
      <c r="AB184" s="465"/>
      <c r="AC184" s="465"/>
      <c r="AD184" s="465"/>
      <c r="AE184" s="465"/>
      <c r="AF184" s="465"/>
      <c r="AG184" s="465"/>
      <c r="AH184" s="465"/>
      <c r="AI184" s="465"/>
      <c r="AJ184" s="465"/>
      <c r="AK184" s="465"/>
      <c r="AL184" s="465"/>
      <c r="AM184" s="465"/>
      <c r="AN184" s="465"/>
      <c r="AO184" s="465"/>
      <c r="AP184" s="465"/>
      <c r="AQ184" s="466"/>
      <c r="AR184" s="464"/>
      <c r="AS184" s="465"/>
      <c r="AT184" s="465"/>
      <c r="AU184" s="465"/>
      <c r="AV184" s="465"/>
      <c r="AW184" s="465"/>
      <c r="AX184" s="465"/>
      <c r="AY184" s="465"/>
      <c r="AZ184" s="465"/>
      <c r="BA184" s="465"/>
      <c r="BB184" s="465"/>
      <c r="BC184" s="465"/>
      <c r="BD184" s="465"/>
      <c r="BE184" s="465"/>
      <c r="BF184" s="465"/>
      <c r="BG184" s="465"/>
      <c r="BH184" s="465"/>
      <c r="BI184" s="465"/>
      <c r="BJ184" s="465"/>
      <c r="BK184" s="465"/>
      <c r="BL184" s="465"/>
      <c r="BM184" s="465"/>
      <c r="BN184" s="465"/>
      <c r="BO184" s="466"/>
      <c r="BP184" s="464"/>
      <c r="BQ184" s="465"/>
      <c r="BR184" s="465"/>
      <c r="BS184" s="465"/>
      <c r="BT184" s="465"/>
      <c r="BU184" s="465"/>
      <c r="BV184" s="465"/>
      <c r="BW184" s="465"/>
      <c r="BX184" s="465"/>
      <c r="BY184" s="465"/>
      <c r="BZ184" s="465"/>
      <c r="CA184" s="465"/>
      <c r="CB184" s="465"/>
      <c r="CC184" s="465"/>
      <c r="CD184" s="465"/>
      <c r="CE184" s="465"/>
      <c r="CF184" s="465"/>
      <c r="CG184" s="465"/>
      <c r="CH184" s="465"/>
      <c r="CI184" s="465"/>
      <c r="CJ184" s="465"/>
      <c r="CK184" s="465"/>
      <c r="CL184" s="465"/>
      <c r="CM184" s="466"/>
      <c r="CN184" s="198"/>
      <c r="CO184" s="198"/>
      <c r="CP184" s="198"/>
      <c r="CQ184" s="98"/>
    </row>
    <row r="185" spans="1:95" s="119" customFormat="1" ht="18.75" hidden="1" customHeight="1">
      <c r="A185" s="129" t="s">
        <v>176</v>
      </c>
      <c r="B185" s="429" t="s">
        <v>236</v>
      </c>
      <c r="C185" s="429"/>
      <c r="D185" s="429"/>
      <c r="E185" s="117">
        <f>E186</f>
        <v>50814</v>
      </c>
      <c r="F185" s="117">
        <f t="shared" ref="F185" si="88">F186</f>
        <v>0</v>
      </c>
      <c r="G185" s="117">
        <f t="shared" ref="G185" si="89">G186</f>
        <v>0</v>
      </c>
      <c r="H185" s="117">
        <f t="shared" ref="H185" si="90">H186</f>
        <v>0</v>
      </c>
      <c r="I185" s="117">
        <f t="shared" ref="I185:K185" si="91">I186</f>
        <v>0</v>
      </c>
      <c r="J185" s="117">
        <f t="shared" si="91"/>
        <v>0</v>
      </c>
      <c r="K185" s="117">
        <f t="shared" si="91"/>
        <v>0</v>
      </c>
      <c r="L185" s="118"/>
      <c r="M185" s="196"/>
      <c r="N185" s="197"/>
      <c r="O185" s="197"/>
      <c r="P185" s="197"/>
      <c r="Q185" s="197"/>
      <c r="R185" s="197"/>
      <c r="S185" s="197"/>
      <c r="T185" s="464"/>
      <c r="U185" s="465"/>
      <c r="V185" s="465"/>
      <c r="W185" s="465"/>
      <c r="X185" s="465"/>
      <c r="Y185" s="465"/>
      <c r="Z185" s="465"/>
      <c r="AA185" s="465"/>
      <c r="AB185" s="465"/>
      <c r="AC185" s="465"/>
      <c r="AD185" s="465"/>
      <c r="AE185" s="465"/>
      <c r="AF185" s="465"/>
      <c r="AG185" s="465"/>
      <c r="AH185" s="465"/>
      <c r="AI185" s="465"/>
      <c r="AJ185" s="465"/>
      <c r="AK185" s="465"/>
      <c r="AL185" s="465"/>
      <c r="AM185" s="465"/>
      <c r="AN185" s="465"/>
      <c r="AO185" s="465"/>
      <c r="AP185" s="465"/>
      <c r="AQ185" s="466"/>
      <c r="AR185" s="464"/>
      <c r="AS185" s="465"/>
      <c r="AT185" s="465"/>
      <c r="AU185" s="465"/>
      <c r="AV185" s="465"/>
      <c r="AW185" s="465"/>
      <c r="AX185" s="465"/>
      <c r="AY185" s="465"/>
      <c r="AZ185" s="465"/>
      <c r="BA185" s="465"/>
      <c r="BB185" s="465"/>
      <c r="BC185" s="465"/>
      <c r="BD185" s="465"/>
      <c r="BE185" s="465"/>
      <c r="BF185" s="465"/>
      <c r="BG185" s="465"/>
      <c r="BH185" s="465"/>
      <c r="BI185" s="465"/>
      <c r="BJ185" s="465"/>
      <c r="BK185" s="465"/>
      <c r="BL185" s="465"/>
      <c r="BM185" s="465"/>
      <c r="BN185" s="465"/>
      <c r="BO185" s="466"/>
      <c r="BP185" s="464"/>
      <c r="BQ185" s="465"/>
      <c r="BR185" s="465"/>
      <c r="BS185" s="465"/>
      <c r="BT185" s="465"/>
      <c r="BU185" s="465"/>
      <c r="BV185" s="465"/>
      <c r="BW185" s="465"/>
      <c r="BX185" s="465"/>
      <c r="BY185" s="465"/>
      <c r="BZ185" s="465"/>
      <c r="CA185" s="465"/>
      <c r="CB185" s="465"/>
      <c r="CC185" s="465"/>
      <c r="CD185" s="465"/>
      <c r="CE185" s="465"/>
      <c r="CF185" s="465"/>
      <c r="CG185" s="465"/>
      <c r="CH185" s="465"/>
      <c r="CI185" s="465"/>
      <c r="CJ185" s="465"/>
      <c r="CK185" s="465"/>
      <c r="CL185" s="465"/>
      <c r="CM185" s="466"/>
      <c r="CN185" s="198"/>
      <c r="CO185" s="198"/>
      <c r="CP185" s="198"/>
      <c r="CQ185" s="98"/>
    </row>
    <row r="186" spans="1:95" s="57" customFormat="1" ht="31.5" hidden="1" customHeight="1">
      <c r="A186" s="59" t="s">
        <v>231</v>
      </c>
      <c r="B186" s="79">
        <v>2600</v>
      </c>
      <c r="C186" s="79" t="s">
        <v>60</v>
      </c>
      <c r="D186" s="76"/>
      <c r="E186" s="81">
        <f>E188</f>
        <v>50814</v>
      </c>
      <c r="F186" s="166">
        <f t="shared" ref="F186:J186" si="92">F188</f>
        <v>0</v>
      </c>
      <c r="G186" s="81">
        <f t="shared" si="92"/>
        <v>0</v>
      </c>
      <c r="H186" s="81">
        <f t="shared" si="92"/>
        <v>0</v>
      </c>
      <c r="I186" s="81">
        <f t="shared" si="92"/>
        <v>0</v>
      </c>
      <c r="J186" s="81">
        <f t="shared" si="92"/>
        <v>0</v>
      </c>
      <c r="K186" s="172">
        <f t="shared" ref="K186" si="93">K188</f>
        <v>0</v>
      </c>
      <c r="M186" s="196"/>
      <c r="N186" s="197"/>
      <c r="O186" s="197"/>
      <c r="P186" s="197"/>
      <c r="Q186" s="197"/>
      <c r="R186" s="197"/>
      <c r="S186" s="197"/>
      <c r="T186" s="464"/>
      <c r="U186" s="465"/>
      <c r="V186" s="465"/>
      <c r="W186" s="465"/>
      <c r="X186" s="465"/>
      <c r="Y186" s="465"/>
      <c r="Z186" s="465"/>
      <c r="AA186" s="465"/>
      <c r="AB186" s="465"/>
      <c r="AC186" s="465"/>
      <c r="AD186" s="465"/>
      <c r="AE186" s="465"/>
      <c r="AF186" s="465"/>
      <c r="AG186" s="465"/>
      <c r="AH186" s="465"/>
      <c r="AI186" s="465"/>
      <c r="AJ186" s="465"/>
      <c r="AK186" s="465"/>
      <c r="AL186" s="465"/>
      <c r="AM186" s="465"/>
      <c r="AN186" s="465"/>
      <c r="AO186" s="465"/>
      <c r="AP186" s="465"/>
      <c r="AQ186" s="466"/>
      <c r="AR186" s="464"/>
      <c r="AS186" s="465"/>
      <c r="AT186" s="465"/>
      <c r="AU186" s="465"/>
      <c r="AV186" s="465"/>
      <c r="AW186" s="465"/>
      <c r="AX186" s="465"/>
      <c r="AY186" s="465"/>
      <c r="AZ186" s="465"/>
      <c r="BA186" s="465"/>
      <c r="BB186" s="465"/>
      <c r="BC186" s="465"/>
      <c r="BD186" s="465"/>
      <c r="BE186" s="465"/>
      <c r="BF186" s="465"/>
      <c r="BG186" s="465"/>
      <c r="BH186" s="465"/>
      <c r="BI186" s="465"/>
      <c r="BJ186" s="465"/>
      <c r="BK186" s="465"/>
      <c r="BL186" s="465"/>
      <c r="BM186" s="465"/>
      <c r="BN186" s="465"/>
      <c r="BO186" s="466"/>
      <c r="BP186" s="464"/>
      <c r="BQ186" s="465"/>
      <c r="BR186" s="465"/>
      <c r="BS186" s="465"/>
      <c r="BT186" s="465"/>
      <c r="BU186" s="465"/>
      <c r="BV186" s="465"/>
      <c r="BW186" s="465"/>
      <c r="BX186" s="465"/>
      <c r="BY186" s="465"/>
      <c r="BZ186" s="465"/>
      <c r="CA186" s="465"/>
      <c r="CB186" s="465"/>
      <c r="CC186" s="465"/>
      <c r="CD186" s="465"/>
      <c r="CE186" s="465"/>
      <c r="CF186" s="465"/>
      <c r="CG186" s="465"/>
      <c r="CH186" s="465"/>
      <c r="CI186" s="465"/>
      <c r="CJ186" s="465"/>
      <c r="CK186" s="465"/>
      <c r="CL186" s="465"/>
      <c r="CM186" s="466"/>
      <c r="CN186" s="198"/>
      <c r="CO186" s="198"/>
      <c r="CP186" s="198"/>
      <c r="CQ186" s="98"/>
    </row>
    <row r="187" spans="1:95" s="67" customFormat="1" ht="15.75" hidden="1" customHeight="1">
      <c r="A187" s="149" t="s">
        <v>230</v>
      </c>
      <c r="B187" s="76"/>
      <c r="C187" s="76"/>
      <c r="D187" s="76"/>
      <c r="E187" s="82"/>
      <c r="F187" s="163"/>
      <c r="G187" s="82"/>
      <c r="H187" s="82"/>
      <c r="I187" s="82"/>
      <c r="J187" s="78"/>
      <c r="K187" s="177"/>
      <c r="M187" s="196"/>
      <c r="N187" s="197"/>
      <c r="O187" s="197"/>
      <c r="P187" s="197"/>
      <c r="Q187" s="197"/>
      <c r="R187" s="197"/>
      <c r="S187" s="197"/>
      <c r="T187" s="464"/>
      <c r="U187" s="465"/>
      <c r="V187" s="465"/>
      <c r="W187" s="465"/>
      <c r="X187" s="465"/>
      <c r="Y187" s="465"/>
      <c r="Z187" s="465"/>
      <c r="AA187" s="465"/>
      <c r="AB187" s="465"/>
      <c r="AC187" s="465"/>
      <c r="AD187" s="465"/>
      <c r="AE187" s="465"/>
      <c r="AF187" s="465"/>
      <c r="AG187" s="465"/>
      <c r="AH187" s="465"/>
      <c r="AI187" s="465"/>
      <c r="AJ187" s="465"/>
      <c r="AK187" s="465"/>
      <c r="AL187" s="465"/>
      <c r="AM187" s="465"/>
      <c r="AN187" s="465"/>
      <c r="AO187" s="465"/>
      <c r="AP187" s="465"/>
      <c r="AQ187" s="466"/>
      <c r="AR187" s="464"/>
      <c r="AS187" s="465"/>
      <c r="AT187" s="465"/>
      <c r="AU187" s="465"/>
      <c r="AV187" s="465"/>
      <c r="AW187" s="465"/>
      <c r="AX187" s="465"/>
      <c r="AY187" s="465"/>
      <c r="AZ187" s="465"/>
      <c r="BA187" s="465"/>
      <c r="BB187" s="465"/>
      <c r="BC187" s="465"/>
      <c r="BD187" s="465"/>
      <c r="BE187" s="465"/>
      <c r="BF187" s="465"/>
      <c r="BG187" s="465"/>
      <c r="BH187" s="465"/>
      <c r="BI187" s="465"/>
      <c r="BJ187" s="465"/>
      <c r="BK187" s="465"/>
      <c r="BL187" s="465"/>
      <c r="BM187" s="465"/>
      <c r="BN187" s="465"/>
      <c r="BO187" s="466"/>
      <c r="BP187" s="464"/>
      <c r="BQ187" s="465"/>
      <c r="BR187" s="465"/>
      <c r="BS187" s="465"/>
      <c r="BT187" s="465"/>
      <c r="BU187" s="465"/>
      <c r="BV187" s="465"/>
      <c r="BW187" s="465"/>
      <c r="BX187" s="465"/>
      <c r="BY187" s="465"/>
      <c r="BZ187" s="465"/>
      <c r="CA187" s="465"/>
      <c r="CB187" s="465"/>
      <c r="CC187" s="465"/>
      <c r="CD187" s="465"/>
      <c r="CE187" s="465"/>
      <c r="CF187" s="465"/>
      <c r="CG187" s="465"/>
      <c r="CH187" s="465"/>
      <c r="CI187" s="465"/>
      <c r="CJ187" s="465"/>
      <c r="CK187" s="465"/>
      <c r="CL187" s="465"/>
      <c r="CM187" s="466"/>
      <c r="CN187" s="198"/>
      <c r="CO187" s="198"/>
      <c r="CP187" s="198"/>
      <c r="CQ187" s="98"/>
    </row>
    <row r="188" spans="1:95" s="57" customFormat="1" ht="31.5" hidden="1" customHeight="1">
      <c r="A188" s="116" t="s">
        <v>77</v>
      </c>
      <c r="B188" s="93">
        <v>2640</v>
      </c>
      <c r="C188" s="93">
        <v>244</v>
      </c>
      <c r="D188" s="93"/>
      <c r="E188" s="94">
        <f>E189</f>
        <v>50814</v>
      </c>
      <c r="F188" s="166">
        <f t="shared" ref="F188:K188" si="94">F189</f>
        <v>0</v>
      </c>
      <c r="G188" s="94">
        <f t="shared" si="94"/>
        <v>0</v>
      </c>
      <c r="H188" s="94">
        <f t="shared" si="94"/>
        <v>0</v>
      </c>
      <c r="I188" s="94">
        <f t="shared" si="94"/>
        <v>0</v>
      </c>
      <c r="J188" s="94">
        <f t="shared" si="94"/>
        <v>0</v>
      </c>
      <c r="K188" s="176">
        <f t="shared" si="94"/>
        <v>0</v>
      </c>
      <c r="L188" s="111"/>
      <c r="M188" s="196"/>
      <c r="N188" s="197"/>
      <c r="O188" s="197"/>
      <c r="P188" s="197"/>
      <c r="Q188" s="197"/>
      <c r="R188" s="197"/>
      <c r="S188" s="197"/>
      <c r="T188" s="464"/>
      <c r="U188" s="465"/>
      <c r="V188" s="465"/>
      <c r="W188" s="465"/>
      <c r="X188" s="465"/>
      <c r="Y188" s="465"/>
      <c r="Z188" s="465"/>
      <c r="AA188" s="465"/>
      <c r="AB188" s="465"/>
      <c r="AC188" s="465"/>
      <c r="AD188" s="465"/>
      <c r="AE188" s="465"/>
      <c r="AF188" s="465"/>
      <c r="AG188" s="465"/>
      <c r="AH188" s="465"/>
      <c r="AI188" s="465"/>
      <c r="AJ188" s="465"/>
      <c r="AK188" s="465"/>
      <c r="AL188" s="465"/>
      <c r="AM188" s="465"/>
      <c r="AN188" s="465"/>
      <c r="AO188" s="465"/>
      <c r="AP188" s="465"/>
      <c r="AQ188" s="466"/>
      <c r="AR188" s="464"/>
      <c r="AS188" s="465"/>
      <c r="AT188" s="465"/>
      <c r="AU188" s="465"/>
      <c r="AV188" s="465"/>
      <c r="AW188" s="465"/>
      <c r="AX188" s="465"/>
      <c r="AY188" s="465"/>
      <c r="AZ188" s="465"/>
      <c r="BA188" s="465"/>
      <c r="BB188" s="465"/>
      <c r="BC188" s="465"/>
      <c r="BD188" s="465"/>
      <c r="BE188" s="465"/>
      <c r="BF188" s="465"/>
      <c r="BG188" s="465"/>
      <c r="BH188" s="465"/>
      <c r="BI188" s="465"/>
      <c r="BJ188" s="465"/>
      <c r="BK188" s="465"/>
      <c r="BL188" s="465"/>
      <c r="BM188" s="465"/>
      <c r="BN188" s="465"/>
      <c r="BO188" s="466"/>
      <c r="BP188" s="464"/>
      <c r="BQ188" s="465"/>
      <c r="BR188" s="465"/>
      <c r="BS188" s="465"/>
      <c r="BT188" s="465"/>
      <c r="BU188" s="465"/>
      <c r="BV188" s="465"/>
      <c r="BW188" s="465"/>
      <c r="BX188" s="465"/>
      <c r="BY188" s="465"/>
      <c r="BZ188" s="465"/>
      <c r="CA188" s="465"/>
      <c r="CB188" s="465"/>
      <c r="CC188" s="465"/>
      <c r="CD188" s="465"/>
      <c r="CE188" s="465"/>
      <c r="CF188" s="465"/>
      <c r="CG188" s="465"/>
      <c r="CH188" s="465"/>
      <c r="CI188" s="465"/>
      <c r="CJ188" s="465"/>
      <c r="CK188" s="465"/>
      <c r="CL188" s="465"/>
      <c r="CM188" s="466"/>
      <c r="CN188" s="198"/>
      <c r="CO188" s="198"/>
      <c r="CP188" s="198"/>
      <c r="CQ188" s="98"/>
    </row>
    <row r="189" spans="1:95" s="107" customFormat="1" ht="31.5" hidden="1" customHeight="1">
      <c r="A189" s="132" t="s">
        <v>199</v>
      </c>
      <c r="B189" s="104"/>
      <c r="C189" s="105" t="s">
        <v>181</v>
      </c>
      <c r="D189" s="104">
        <v>225</v>
      </c>
      <c r="E189" s="106">
        <v>50814</v>
      </c>
      <c r="F189" s="114">
        <v>0</v>
      </c>
      <c r="G189" s="113">
        <v>0</v>
      </c>
      <c r="H189" s="114">
        <v>0</v>
      </c>
      <c r="I189" s="114">
        <f t="shared" ref="I189" si="95">H189</f>
        <v>0</v>
      </c>
      <c r="J189" s="114">
        <v>0</v>
      </c>
      <c r="K189" s="114">
        <v>0</v>
      </c>
      <c r="L189" s="110"/>
      <c r="M189" s="196"/>
      <c r="N189" s="197"/>
      <c r="O189" s="197"/>
      <c r="P189" s="197"/>
      <c r="Q189" s="197"/>
      <c r="R189" s="197"/>
      <c r="S189" s="197"/>
      <c r="T189" s="464"/>
      <c r="U189" s="465"/>
      <c r="V189" s="465"/>
      <c r="W189" s="465"/>
      <c r="X189" s="465"/>
      <c r="Y189" s="465"/>
      <c r="Z189" s="465"/>
      <c r="AA189" s="465"/>
      <c r="AB189" s="465"/>
      <c r="AC189" s="465"/>
      <c r="AD189" s="465"/>
      <c r="AE189" s="465"/>
      <c r="AF189" s="465"/>
      <c r="AG189" s="465"/>
      <c r="AH189" s="465"/>
      <c r="AI189" s="465"/>
      <c r="AJ189" s="465"/>
      <c r="AK189" s="465"/>
      <c r="AL189" s="465"/>
      <c r="AM189" s="465"/>
      <c r="AN189" s="465"/>
      <c r="AO189" s="465"/>
      <c r="AP189" s="465"/>
      <c r="AQ189" s="466"/>
      <c r="AR189" s="464"/>
      <c r="AS189" s="465"/>
      <c r="AT189" s="465"/>
      <c r="AU189" s="465"/>
      <c r="AV189" s="465"/>
      <c r="AW189" s="465"/>
      <c r="AX189" s="465"/>
      <c r="AY189" s="465"/>
      <c r="AZ189" s="465"/>
      <c r="BA189" s="465"/>
      <c r="BB189" s="465"/>
      <c r="BC189" s="465"/>
      <c r="BD189" s="465"/>
      <c r="BE189" s="465"/>
      <c r="BF189" s="465"/>
      <c r="BG189" s="465"/>
      <c r="BH189" s="465"/>
      <c r="BI189" s="465"/>
      <c r="BJ189" s="465"/>
      <c r="BK189" s="465"/>
      <c r="BL189" s="465"/>
      <c r="BM189" s="465"/>
      <c r="BN189" s="465"/>
      <c r="BO189" s="466"/>
      <c r="BP189" s="464"/>
      <c r="BQ189" s="465"/>
      <c r="BR189" s="465"/>
      <c r="BS189" s="465"/>
      <c r="BT189" s="465"/>
      <c r="BU189" s="465"/>
      <c r="BV189" s="465"/>
      <c r="BW189" s="465"/>
      <c r="BX189" s="465"/>
      <c r="BY189" s="465"/>
      <c r="BZ189" s="465"/>
      <c r="CA189" s="465"/>
      <c r="CB189" s="465"/>
      <c r="CC189" s="465"/>
      <c r="CD189" s="465"/>
      <c r="CE189" s="465"/>
      <c r="CF189" s="465"/>
      <c r="CG189" s="465"/>
      <c r="CH189" s="465"/>
      <c r="CI189" s="465"/>
      <c r="CJ189" s="465"/>
      <c r="CK189" s="465"/>
      <c r="CL189" s="465"/>
      <c r="CM189" s="466"/>
      <c r="CN189" s="198"/>
      <c r="CO189" s="198"/>
      <c r="CP189" s="198"/>
      <c r="CQ189" s="98"/>
    </row>
    <row r="190" spans="1:95" s="119" customFormat="1" ht="18.75" hidden="1" customHeight="1">
      <c r="A190" s="129" t="s">
        <v>176</v>
      </c>
      <c r="B190" s="429" t="s">
        <v>235</v>
      </c>
      <c r="C190" s="429"/>
      <c r="D190" s="429"/>
      <c r="E190" s="117">
        <f>E191</f>
        <v>299813</v>
      </c>
      <c r="F190" s="117">
        <f t="shared" ref="F190" si="96">F191</f>
        <v>0</v>
      </c>
      <c r="G190" s="117">
        <f t="shared" ref="G190" si="97">G191</f>
        <v>0</v>
      </c>
      <c r="H190" s="117">
        <f t="shared" ref="H190" si="98">H191</f>
        <v>0</v>
      </c>
      <c r="I190" s="117">
        <f t="shared" ref="I190:K190" si="99">I191</f>
        <v>0</v>
      </c>
      <c r="J190" s="117">
        <f t="shared" si="99"/>
        <v>0</v>
      </c>
      <c r="K190" s="117">
        <f t="shared" si="99"/>
        <v>0</v>
      </c>
      <c r="L190" s="118"/>
      <c r="M190" s="196"/>
      <c r="N190" s="197"/>
      <c r="O190" s="197"/>
      <c r="P190" s="197"/>
      <c r="Q190" s="197"/>
      <c r="R190" s="197"/>
      <c r="S190" s="197"/>
      <c r="T190" s="464"/>
      <c r="U190" s="465"/>
      <c r="V190" s="465"/>
      <c r="W190" s="465"/>
      <c r="X190" s="465"/>
      <c r="Y190" s="465"/>
      <c r="Z190" s="465"/>
      <c r="AA190" s="465"/>
      <c r="AB190" s="465"/>
      <c r="AC190" s="465"/>
      <c r="AD190" s="465"/>
      <c r="AE190" s="465"/>
      <c r="AF190" s="465"/>
      <c r="AG190" s="465"/>
      <c r="AH190" s="465"/>
      <c r="AI190" s="465"/>
      <c r="AJ190" s="465"/>
      <c r="AK190" s="465"/>
      <c r="AL190" s="465"/>
      <c r="AM190" s="465"/>
      <c r="AN190" s="465"/>
      <c r="AO190" s="465"/>
      <c r="AP190" s="465"/>
      <c r="AQ190" s="466"/>
      <c r="AR190" s="464"/>
      <c r="AS190" s="465"/>
      <c r="AT190" s="465"/>
      <c r="AU190" s="465"/>
      <c r="AV190" s="465"/>
      <c r="AW190" s="465"/>
      <c r="AX190" s="465"/>
      <c r="AY190" s="465"/>
      <c r="AZ190" s="465"/>
      <c r="BA190" s="465"/>
      <c r="BB190" s="465"/>
      <c r="BC190" s="465"/>
      <c r="BD190" s="465"/>
      <c r="BE190" s="465"/>
      <c r="BF190" s="465"/>
      <c r="BG190" s="465"/>
      <c r="BH190" s="465"/>
      <c r="BI190" s="465"/>
      <c r="BJ190" s="465"/>
      <c r="BK190" s="465"/>
      <c r="BL190" s="465"/>
      <c r="BM190" s="465"/>
      <c r="BN190" s="465"/>
      <c r="BO190" s="466"/>
      <c r="BP190" s="464"/>
      <c r="BQ190" s="465"/>
      <c r="BR190" s="465"/>
      <c r="BS190" s="465"/>
      <c r="BT190" s="465"/>
      <c r="BU190" s="465"/>
      <c r="BV190" s="465"/>
      <c r="BW190" s="465"/>
      <c r="BX190" s="465"/>
      <c r="BY190" s="465"/>
      <c r="BZ190" s="465"/>
      <c r="CA190" s="465"/>
      <c r="CB190" s="465"/>
      <c r="CC190" s="465"/>
      <c r="CD190" s="465"/>
      <c r="CE190" s="465"/>
      <c r="CF190" s="465"/>
      <c r="CG190" s="465"/>
      <c r="CH190" s="465"/>
      <c r="CI190" s="465"/>
      <c r="CJ190" s="465"/>
      <c r="CK190" s="465"/>
      <c r="CL190" s="465"/>
      <c r="CM190" s="466"/>
      <c r="CN190" s="198"/>
      <c r="CO190" s="198"/>
      <c r="CP190" s="198"/>
      <c r="CQ190" s="98"/>
    </row>
    <row r="191" spans="1:95" s="57" customFormat="1" ht="31.5" hidden="1" customHeight="1">
      <c r="A191" s="59" t="s">
        <v>231</v>
      </c>
      <c r="B191" s="79">
        <v>2600</v>
      </c>
      <c r="C191" s="79" t="s">
        <v>60</v>
      </c>
      <c r="D191" s="76"/>
      <c r="E191" s="81">
        <f>E193</f>
        <v>299813</v>
      </c>
      <c r="F191" s="166">
        <f t="shared" ref="F191:J191" si="100">F193</f>
        <v>0</v>
      </c>
      <c r="G191" s="81">
        <f t="shared" si="100"/>
        <v>0</v>
      </c>
      <c r="H191" s="81">
        <f t="shared" si="100"/>
        <v>0</v>
      </c>
      <c r="I191" s="81">
        <f t="shared" si="100"/>
        <v>0</v>
      </c>
      <c r="J191" s="81">
        <f t="shared" si="100"/>
        <v>0</v>
      </c>
      <c r="K191" s="172">
        <f t="shared" ref="K191" si="101">K193</f>
        <v>0</v>
      </c>
      <c r="M191" s="196"/>
      <c r="N191" s="197"/>
      <c r="O191" s="197"/>
      <c r="P191" s="197"/>
      <c r="Q191" s="197"/>
      <c r="R191" s="197"/>
      <c r="S191" s="197"/>
      <c r="T191" s="464"/>
      <c r="U191" s="465"/>
      <c r="V191" s="465"/>
      <c r="W191" s="465"/>
      <c r="X191" s="465"/>
      <c r="Y191" s="465"/>
      <c r="Z191" s="465"/>
      <c r="AA191" s="465"/>
      <c r="AB191" s="465"/>
      <c r="AC191" s="465"/>
      <c r="AD191" s="465"/>
      <c r="AE191" s="465"/>
      <c r="AF191" s="465"/>
      <c r="AG191" s="465"/>
      <c r="AH191" s="465"/>
      <c r="AI191" s="465"/>
      <c r="AJ191" s="465"/>
      <c r="AK191" s="465"/>
      <c r="AL191" s="465"/>
      <c r="AM191" s="465"/>
      <c r="AN191" s="465"/>
      <c r="AO191" s="465"/>
      <c r="AP191" s="465"/>
      <c r="AQ191" s="466"/>
      <c r="AR191" s="464"/>
      <c r="AS191" s="465"/>
      <c r="AT191" s="465"/>
      <c r="AU191" s="465"/>
      <c r="AV191" s="465"/>
      <c r="AW191" s="465"/>
      <c r="AX191" s="465"/>
      <c r="AY191" s="465"/>
      <c r="AZ191" s="465"/>
      <c r="BA191" s="465"/>
      <c r="BB191" s="465"/>
      <c r="BC191" s="465"/>
      <c r="BD191" s="465"/>
      <c r="BE191" s="465"/>
      <c r="BF191" s="465"/>
      <c r="BG191" s="465"/>
      <c r="BH191" s="465"/>
      <c r="BI191" s="465"/>
      <c r="BJ191" s="465"/>
      <c r="BK191" s="465"/>
      <c r="BL191" s="465"/>
      <c r="BM191" s="465"/>
      <c r="BN191" s="465"/>
      <c r="BO191" s="466"/>
      <c r="BP191" s="464"/>
      <c r="BQ191" s="465"/>
      <c r="BR191" s="465"/>
      <c r="BS191" s="465"/>
      <c r="BT191" s="465"/>
      <c r="BU191" s="465"/>
      <c r="BV191" s="465"/>
      <c r="BW191" s="465"/>
      <c r="BX191" s="465"/>
      <c r="BY191" s="465"/>
      <c r="BZ191" s="465"/>
      <c r="CA191" s="465"/>
      <c r="CB191" s="465"/>
      <c r="CC191" s="465"/>
      <c r="CD191" s="465"/>
      <c r="CE191" s="465"/>
      <c r="CF191" s="465"/>
      <c r="CG191" s="465"/>
      <c r="CH191" s="465"/>
      <c r="CI191" s="465"/>
      <c r="CJ191" s="465"/>
      <c r="CK191" s="465"/>
      <c r="CL191" s="465"/>
      <c r="CM191" s="466"/>
      <c r="CN191" s="198"/>
      <c r="CO191" s="198"/>
      <c r="CP191" s="198"/>
      <c r="CQ191" s="98"/>
    </row>
    <row r="192" spans="1:95" s="67" customFormat="1" ht="15.75" hidden="1" customHeight="1">
      <c r="A192" s="149" t="s">
        <v>230</v>
      </c>
      <c r="B192" s="76"/>
      <c r="C192" s="76"/>
      <c r="D192" s="76"/>
      <c r="E192" s="82"/>
      <c r="F192" s="163"/>
      <c r="G192" s="82"/>
      <c r="H192" s="82"/>
      <c r="I192" s="82"/>
      <c r="J192" s="78"/>
      <c r="K192" s="177"/>
      <c r="M192" s="196"/>
      <c r="N192" s="197"/>
      <c r="O192" s="197"/>
      <c r="P192" s="197"/>
      <c r="Q192" s="197"/>
      <c r="R192" s="197"/>
      <c r="S192" s="197"/>
      <c r="T192" s="464"/>
      <c r="U192" s="465"/>
      <c r="V192" s="465"/>
      <c r="W192" s="465"/>
      <c r="X192" s="465"/>
      <c r="Y192" s="465"/>
      <c r="Z192" s="465"/>
      <c r="AA192" s="465"/>
      <c r="AB192" s="465"/>
      <c r="AC192" s="465"/>
      <c r="AD192" s="465"/>
      <c r="AE192" s="465"/>
      <c r="AF192" s="465"/>
      <c r="AG192" s="465"/>
      <c r="AH192" s="465"/>
      <c r="AI192" s="465"/>
      <c r="AJ192" s="465"/>
      <c r="AK192" s="465"/>
      <c r="AL192" s="465"/>
      <c r="AM192" s="465"/>
      <c r="AN192" s="465"/>
      <c r="AO192" s="465"/>
      <c r="AP192" s="465"/>
      <c r="AQ192" s="466"/>
      <c r="AR192" s="464"/>
      <c r="AS192" s="465"/>
      <c r="AT192" s="465"/>
      <c r="AU192" s="465"/>
      <c r="AV192" s="465"/>
      <c r="AW192" s="465"/>
      <c r="AX192" s="465"/>
      <c r="AY192" s="465"/>
      <c r="AZ192" s="465"/>
      <c r="BA192" s="465"/>
      <c r="BB192" s="465"/>
      <c r="BC192" s="465"/>
      <c r="BD192" s="465"/>
      <c r="BE192" s="465"/>
      <c r="BF192" s="465"/>
      <c r="BG192" s="465"/>
      <c r="BH192" s="465"/>
      <c r="BI192" s="465"/>
      <c r="BJ192" s="465"/>
      <c r="BK192" s="465"/>
      <c r="BL192" s="465"/>
      <c r="BM192" s="465"/>
      <c r="BN192" s="465"/>
      <c r="BO192" s="466"/>
      <c r="BP192" s="464"/>
      <c r="BQ192" s="465"/>
      <c r="BR192" s="465"/>
      <c r="BS192" s="465"/>
      <c r="BT192" s="465"/>
      <c r="BU192" s="465"/>
      <c r="BV192" s="465"/>
      <c r="BW192" s="465"/>
      <c r="BX192" s="465"/>
      <c r="BY192" s="465"/>
      <c r="BZ192" s="465"/>
      <c r="CA192" s="465"/>
      <c r="CB192" s="465"/>
      <c r="CC192" s="465"/>
      <c r="CD192" s="465"/>
      <c r="CE192" s="465"/>
      <c r="CF192" s="465"/>
      <c r="CG192" s="465"/>
      <c r="CH192" s="465"/>
      <c r="CI192" s="465"/>
      <c r="CJ192" s="465"/>
      <c r="CK192" s="465"/>
      <c r="CL192" s="465"/>
      <c r="CM192" s="466"/>
      <c r="CN192" s="198"/>
      <c r="CO192" s="198"/>
      <c r="CP192" s="198"/>
      <c r="CQ192" s="98"/>
    </row>
    <row r="193" spans="1:95" s="57" customFormat="1" ht="31.5" hidden="1" customHeight="1">
      <c r="A193" s="116" t="s">
        <v>77</v>
      </c>
      <c r="B193" s="93">
        <v>2640</v>
      </c>
      <c r="C193" s="93">
        <v>244</v>
      </c>
      <c r="D193" s="93"/>
      <c r="E193" s="94">
        <f>SUM(E194:E197)</f>
        <v>299813</v>
      </c>
      <c r="F193" s="166">
        <f t="shared" ref="F193:J193" si="102">SUM(F194:F197)</f>
        <v>0</v>
      </c>
      <c r="G193" s="94">
        <f t="shared" si="102"/>
        <v>0</v>
      </c>
      <c r="H193" s="94">
        <f t="shared" si="102"/>
        <v>0</v>
      </c>
      <c r="I193" s="94">
        <f t="shared" si="102"/>
        <v>0</v>
      </c>
      <c r="J193" s="94">
        <f t="shared" si="102"/>
        <v>0</v>
      </c>
      <c r="K193" s="176">
        <f t="shared" ref="K193" si="103">SUM(K194:K197)</f>
        <v>0</v>
      </c>
      <c r="L193" s="111"/>
      <c r="M193" s="196"/>
      <c r="N193" s="197"/>
      <c r="O193" s="197"/>
      <c r="P193" s="197"/>
      <c r="Q193" s="197"/>
      <c r="R193" s="197"/>
      <c r="S193" s="197"/>
      <c r="T193" s="464"/>
      <c r="U193" s="465"/>
      <c r="V193" s="465"/>
      <c r="W193" s="465"/>
      <c r="X193" s="465"/>
      <c r="Y193" s="465"/>
      <c r="Z193" s="465"/>
      <c r="AA193" s="465"/>
      <c r="AB193" s="465"/>
      <c r="AC193" s="465"/>
      <c r="AD193" s="465"/>
      <c r="AE193" s="465"/>
      <c r="AF193" s="465"/>
      <c r="AG193" s="465"/>
      <c r="AH193" s="465"/>
      <c r="AI193" s="465"/>
      <c r="AJ193" s="465"/>
      <c r="AK193" s="465"/>
      <c r="AL193" s="465"/>
      <c r="AM193" s="465"/>
      <c r="AN193" s="465"/>
      <c r="AO193" s="465"/>
      <c r="AP193" s="465"/>
      <c r="AQ193" s="466"/>
      <c r="AR193" s="464"/>
      <c r="AS193" s="465"/>
      <c r="AT193" s="465"/>
      <c r="AU193" s="465"/>
      <c r="AV193" s="465"/>
      <c r="AW193" s="465"/>
      <c r="AX193" s="465"/>
      <c r="AY193" s="465"/>
      <c r="AZ193" s="465"/>
      <c r="BA193" s="465"/>
      <c r="BB193" s="465"/>
      <c r="BC193" s="465"/>
      <c r="BD193" s="465"/>
      <c r="BE193" s="465"/>
      <c r="BF193" s="465"/>
      <c r="BG193" s="465"/>
      <c r="BH193" s="465"/>
      <c r="BI193" s="465"/>
      <c r="BJ193" s="465"/>
      <c r="BK193" s="465"/>
      <c r="BL193" s="465"/>
      <c r="BM193" s="465"/>
      <c r="BN193" s="465"/>
      <c r="BO193" s="466"/>
      <c r="BP193" s="464"/>
      <c r="BQ193" s="465"/>
      <c r="BR193" s="465"/>
      <c r="BS193" s="465"/>
      <c r="BT193" s="465"/>
      <c r="BU193" s="465"/>
      <c r="BV193" s="465"/>
      <c r="BW193" s="465"/>
      <c r="BX193" s="465"/>
      <c r="BY193" s="465"/>
      <c r="BZ193" s="465"/>
      <c r="CA193" s="465"/>
      <c r="CB193" s="465"/>
      <c r="CC193" s="465"/>
      <c r="CD193" s="465"/>
      <c r="CE193" s="465"/>
      <c r="CF193" s="465"/>
      <c r="CG193" s="465"/>
      <c r="CH193" s="465"/>
      <c r="CI193" s="465"/>
      <c r="CJ193" s="465"/>
      <c r="CK193" s="465"/>
      <c r="CL193" s="465"/>
      <c r="CM193" s="466"/>
      <c r="CN193" s="198"/>
      <c r="CO193" s="198"/>
      <c r="CP193" s="198"/>
      <c r="CQ193" s="98"/>
    </row>
    <row r="194" spans="1:95" s="107" customFormat="1" ht="15.75" hidden="1" customHeight="1">
      <c r="A194" s="132" t="s">
        <v>193</v>
      </c>
      <c r="B194" s="104"/>
      <c r="C194" s="105" t="s">
        <v>183</v>
      </c>
      <c r="D194" s="104">
        <v>225</v>
      </c>
      <c r="E194" s="106">
        <v>59500</v>
      </c>
      <c r="F194" s="114">
        <v>0</v>
      </c>
      <c r="G194" s="113">
        <f t="shared" ref="G194:I194" si="104">F194</f>
        <v>0</v>
      </c>
      <c r="H194" s="114">
        <f t="shared" si="104"/>
        <v>0</v>
      </c>
      <c r="I194" s="114">
        <f t="shared" si="104"/>
        <v>0</v>
      </c>
      <c r="J194" s="114">
        <v>0</v>
      </c>
      <c r="K194" s="114">
        <v>0</v>
      </c>
      <c r="L194" s="110"/>
      <c r="M194" s="196"/>
      <c r="N194" s="197"/>
      <c r="O194" s="197"/>
      <c r="P194" s="197"/>
      <c r="Q194" s="197"/>
      <c r="R194" s="197"/>
      <c r="S194" s="197"/>
      <c r="T194" s="464"/>
      <c r="U194" s="465"/>
      <c r="V194" s="465"/>
      <c r="W194" s="465"/>
      <c r="X194" s="465"/>
      <c r="Y194" s="465"/>
      <c r="Z194" s="465"/>
      <c r="AA194" s="465"/>
      <c r="AB194" s="465"/>
      <c r="AC194" s="465"/>
      <c r="AD194" s="465"/>
      <c r="AE194" s="465"/>
      <c r="AF194" s="465"/>
      <c r="AG194" s="465"/>
      <c r="AH194" s="465"/>
      <c r="AI194" s="465"/>
      <c r="AJ194" s="465"/>
      <c r="AK194" s="465"/>
      <c r="AL194" s="465"/>
      <c r="AM194" s="465"/>
      <c r="AN194" s="465"/>
      <c r="AO194" s="465"/>
      <c r="AP194" s="465"/>
      <c r="AQ194" s="466"/>
      <c r="AR194" s="464"/>
      <c r="AS194" s="465"/>
      <c r="AT194" s="465"/>
      <c r="AU194" s="465"/>
      <c r="AV194" s="465"/>
      <c r="AW194" s="465"/>
      <c r="AX194" s="465"/>
      <c r="AY194" s="465"/>
      <c r="AZ194" s="465"/>
      <c r="BA194" s="465"/>
      <c r="BB194" s="465"/>
      <c r="BC194" s="465"/>
      <c r="BD194" s="465"/>
      <c r="BE194" s="465"/>
      <c r="BF194" s="465"/>
      <c r="BG194" s="465"/>
      <c r="BH194" s="465"/>
      <c r="BI194" s="465"/>
      <c r="BJ194" s="465"/>
      <c r="BK194" s="465"/>
      <c r="BL194" s="465"/>
      <c r="BM194" s="465"/>
      <c r="BN194" s="465"/>
      <c r="BO194" s="466"/>
      <c r="BP194" s="464"/>
      <c r="BQ194" s="465"/>
      <c r="BR194" s="465"/>
      <c r="BS194" s="465"/>
      <c r="BT194" s="465"/>
      <c r="BU194" s="465"/>
      <c r="BV194" s="465"/>
      <c r="BW194" s="465"/>
      <c r="BX194" s="465"/>
      <c r="BY194" s="465"/>
      <c r="BZ194" s="465"/>
      <c r="CA194" s="465"/>
      <c r="CB194" s="465"/>
      <c r="CC194" s="465"/>
      <c r="CD194" s="465"/>
      <c r="CE194" s="465"/>
      <c r="CF194" s="465"/>
      <c r="CG194" s="465"/>
      <c r="CH194" s="465"/>
      <c r="CI194" s="465"/>
      <c r="CJ194" s="465"/>
      <c r="CK194" s="465"/>
      <c r="CL194" s="465"/>
      <c r="CM194" s="466"/>
      <c r="CN194" s="198"/>
      <c r="CO194" s="198"/>
      <c r="CP194" s="198"/>
      <c r="CQ194" s="98"/>
    </row>
    <row r="195" spans="1:95" s="107" customFormat="1" ht="31.5" hidden="1" customHeight="1">
      <c r="A195" s="132" t="s">
        <v>200</v>
      </c>
      <c r="B195" s="104"/>
      <c r="C195" s="105" t="s">
        <v>183</v>
      </c>
      <c r="D195" s="104">
        <v>310</v>
      </c>
      <c r="E195" s="106">
        <v>211943</v>
      </c>
      <c r="F195" s="114">
        <v>0</v>
      </c>
      <c r="G195" s="113">
        <v>0</v>
      </c>
      <c r="H195" s="114">
        <f t="shared" ref="H195:I195" si="105">G195</f>
        <v>0</v>
      </c>
      <c r="I195" s="114">
        <f t="shared" si="105"/>
        <v>0</v>
      </c>
      <c r="J195" s="114">
        <v>0</v>
      </c>
      <c r="K195" s="114">
        <v>0</v>
      </c>
      <c r="L195" s="110"/>
      <c r="M195" s="196"/>
      <c r="N195" s="197"/>
      <c r="O195" s="197"/>
      <c r="P195" s="197"/>
      <c r="Q195" s="197"/>
      <c r="R195" s="197"/>
      <c r="S195" s="197"/>
      <c r="T195" s="464"/>
      <c r="U195" s="465"/>
      <c r="V195" s="465"/>
      <c r="W195" s="465"/>
      <c r="X195" s="465"/>
      <c r="Y195" s="465"/>
      <c r="Z195" s="465"/>
      <c r="AA195" s="465"/>
      <c r="AB195" s="465"/>
      <c r="AC195" s="465"/>
      <c r="AD195" s="465"/>
      <c r="AE195" s="465"/>
      <c r="AF195" s="465"/>
      <c r="AG195" s="465"/>
      <c r="AH195" s="465"/>
      <c r="AI195" s="465"/>
      <c r="AJ195" s="465"/>
      <c r="AK195" s="465"/>
      <c r="AL195" s="465"/>
      <c r="AM195" s="465"/>
      <c r="AN195" s="465"/>
      <c r="AO195" s="465"/>
      <c r="AP195" s="465"/>
      <c r="AQ195" s="466"/>
      <c r="AR195" s="464"/>
      <c r="AS195" s="465"/>
      <c r="AT195" s="465"/>
      <c r="AU195" s="465"/>
      <c r="AV195" s="465"/>
      <c r="AW195" s="465"/>
      <c r="AX195" s="465"/>
      <c r="AY195" s="465"/>
      <c r="AZ195" s="465"/>
      <c r="BA195" s="465"/>
      <c r="BB195" s="465"/>
      <c r="BC195" s="465"/>
      <c r="BD195" s="465"/>
      <c r="BE195" s="465"/>
      <c r="BF195" s="465"/>
      <c r="BG195" s="465"/>
      <c r="BH195" s="465"/>
      <c r="BI195" s="465"/>
      <c r="BJ195" s="465"/>
      <c r="BK195" s="465"/>
      <c r="BL195" s="465"/>
      <c r="BM195" s="465"/>
      <c r="BN195" s="465"/>
      <c r="BO195" s="466"/>
      <c r="BP195" s="464"/>
      <c r="BQ195" s="465"/>
      <c r="BR195" s="465"/>
      <c r="BS195" s="465"/>
      <c r="BT195" s="465"/>
      <c r="BU195" s="465"/>
      <c r="BV195" s="465"/>
      <c r="BW195" s="465"/>
      <c r="BX195" s="465"/>
      <c r="BY195" s="465"/>
      <c r="BZ195" s="465"/>
      <c r="CA195" s="465"/>
      <c r="CB195" s="465"/>
      <c r="CC195" s="465"/>
      <c r="CD195" s="465"/>
      <c r="CE195" s="465"/>
      <c r="CF195" s="465"/>
      <c r="CG195" s="465"/>
      <c r="CH195" s="465"/>
      <c r="CI195" s="465"/>
      <c r="CJ195" s="465"/>
      <c r="CK195" s="465"/>
      <c r="CL195" s="465"/>
      <c r="CM195" s="466"/>
      <c r="CN195" s="198"/>
      <c r="CO195" s="198"/>
      <c r="CP195" s="198"/>
      <c r="CQ195" s="98"/>
    </row>
    <row r="196" spans="1:95" s="107" customFormat="1" ht="31.5" hidden="1" customHeight="1">
      <c r="A196" s="132" t="s">
        <v>221</v>
      </c>
      <c r="B196" s="104"/>
      <c r="C196" s="105" t="s">
        <v>183</v>
      </c>
      <c r="D196" s="104">
        <v>341</v>
      </c>
      <c r="E196" s="106">
        <v>1320</v>
      </c>
      <c r="F196" s="114">
        <v>0</v>
      </c>
      <c r="G196" s="113">
        <v>0</v>
      </c>
      <c r="H196" s="114">
        <f t="shared" ref="H196" si="106">G196</f>
        <v>0</v>
      </c>
      <c r="I196" s="114">
        <f t="shared" ref="I196" si="107">H196</f>
        <v>0</v>
      </c>
      <c r="J196" s="114">
        <v>0</v>
      </c>
      <c r="K196" s="114">
        <v>0</v>
      </c>
      <c r="L196" s="110"/>
      <c r="M196" s="196"/>
      <c r="N196" s="197"/>
      <c r="O196" s="197"/>
      <c r="P196" s="197"/>
      <c r="Q196" s="197"/>
      <c r="R196" s="197"/>
      <c r="S196" s="197"/>
      <c r="T196" s="464"/>
      <c r="U196" s="465"/>
      <c r="V196" s="465"/>
      <c r="W196" s="465"/>
      <c r="X196" s="465"/>
      <c r="Y196" s="465"/>
      <c r="Z196" s="465"/>
      <c r="AA196" s="465"/>
      <c r="AB196" s="465"/>
      <c r="AC196" s="465"/>
      <c r="AD196" s="465"/>
      <c r="AE196" s="465"/>
      <c r="AF196" s="465"/>
      <c r="AG196" s="465"/>
      <c r="AH196" s="465"/>
      <c r="AI196" s="465"/>
      <c r="AJ196" s="465"/>
      <c r="AK196" s="465"/>
      <c r="AL196" s="465"/>
      <c r="AM196" s="465"/>
      <c r="AN196" s="465"/>
      <c r="AO196" s="465"/>
      <c r="AP196" s="465"/>
      <c r="AQ196" s="466"/>
      <c r="AR196" s="464"/>
      <c r="AS196" s="465"/>
      <c r="AT196" s="465"/>
      <c r="AU196" s="465"/>
      <c r="AV196" s="465"/>
      <c r="AW196" s="465"/>
      <c r="AX196" s="465"/>
      <c r="AY196" s="465"/>
      <c r="AZ196" s="465"/>
      <c r="BA196" s="465"/>
      <c r="BB196" s="465"/>
      <c r="BC196" s="465"/>
      <c r="BD196" s="465"/>
      <c r="BE196" s="465"/>
      <c r="BF196" s="465"/>
      <c r="BG196" s="465"/>
      <c r="BH196" s="465"/>
      <c r="BI196" s="465"/>
      <c r="BJ196" s="465"/>
      <c r="BK196" s="465"/>
      <c r="BL196" s="465"/>
      <c r="BM196" s="465"/>
      <c r="BN196" s="465"/>
      <c r="BO196" s="466"/>
      <c r="BP196" s="464"/>
      <c r="BQ196" s="465"/>
      <c r="BR196" s="465"/>
      <c r="BS196" s="465"/>
      <c r="BT196" s="465"/>
      <c r="BU196" s="465"/>
      <c r="BV196" s="465"/>
      <c r="BW196" s="465"/>
      <c r="BX196" s="465"/>
      <c r="BY196" s="465"/>
      <c r="BZ196" s="465"/>
      <c r="CA196" s="465"/>
      <c r="CB196" s="465"/>
      <c r="CC196" s="465"/>
      <c r="CD196" s="465"/>
      <c r="CE196" s="465"/>
      <c r="CF196" s="465"/>
      <c r="CG196" s="465"/>
      <c r="CH196" s="465"/>
      <c r="CI196" s="465"/>
      <c r="CJ196" s="465"/>
      <c r="CK196" s="465"/>
      <c r="CL196" s="465"/>
      <c r="CM196" s="466"/>
      <c r="CN196" s="198"/>
      <c r="CO196" s="198"/>
      <c r="CP196" s="198"/>
      <c r="CQ196" s="98"/>
    </row>
    <row r="197" spans="1:95" s="107" customFormat="1" ht="31.5" hidden="1" customHeight="1">
      <c r="A197" s="132" t="s">
        <v>205</v>
      </c>
      <c r="B197" s="104"/>
      <c r="C197" s="105" t="s">
        <v>183</v>
      </c>
      <c r="D197" s="104">
        <v>346</v>
      </c>
      <c r="E197" s="106">
        <v>27050</v>
      </c>
      <c r="F197" s="114">
        <v>0</v>
      </c>
      <c r="G197" s="113">
        <f t="shared" ref="G197:I197" si="108">F197</f>
        <v>0</v>
      </c>
      <c r="H197" s="114">
        <f t="shared" si="108"/>
        <v>0</v>
      </c>
      <c r="I197" s="114">
        <f t="shared" si="108"/>
        <v>0</v>
      </c>
      <c r="J197" s="114">
        <v>0</v>
      </c>
      <c r="K197" s="114">
        <v>0</v>
      </c>
      <c r="L197" s="110"/>
      <c r="M197" s="196"/>
      <c r="N197" s="197"/>
      <c r="O197" s="197"/>
      <c r="P197" s="197"/>
      <c r="Q197" s="197"/>
      <c r="R197" s="197"/>
      <c r="S197" s="197"/>
      <c r="T197" s="464"/>
      <c r="U197" s="465"/>
      <c r="V197" s="465"/>
      <c r="W197" s="465"/>
      <c r="X197" s="465"/>
      <c r="Y197" s="465"/>
      <c r="Z197" s="465"/>
      <c r="AA197" s="465"/>
      <c r="AB197" s="465"/>
      <c r="AC197" s="465"/>
      <c r="AD197" s="465"/>
      <c r="AE197" s="465"/>
      <c r="AF197" s="465"/>
      <c r="AG197" s="465"/>
      <c r="AH197" s="465"/>
      <c r="AI197" s="465"/>
      <c r="AJ197" s="465"/>
      <c r="AK197" s="465"/>
      <c r="AL197" s="465"/>
      <c r="AM197" s="465"/>
      <c r="AN197" s="465"/>
      <c r="AO197" s="465"/>
      <c r="AP197" s="465"/>
      <c r="AQ197" s="466"/>
      <c r="AR197" s="464"/>
      <c r="AS197" s="465"/>
      <c r="AT197" s="465"/>
      <c r="AU197" s="465"/>
      <c r="AV197" s="465"/>
      <c r="AW197" s="465"/>
      <c r="AX197" s="465"/>
      <c r="AY197" s="465"/>
      <c r="AZ197" s="465"/>
      <c r="BA197" s="465"/>
      <c r="BB197" s="465"/>
      <c r="BC197" s="465"/>
      <c r="BD197" s="465"/>
      <c r="BE197" s="465"/>
      <c r="BF197" s="465"/>
      <c r="BG197" s="465"/>
      <c r="BH197" s="465"/>
      <c r="BI197" s="465"/>
      <c r="BJ197" s="465"/>
      <c r="BK197" s="465"/>
      <c r="BL197" s="465"/>
      <c r="BM197" s="465"/>
      <c r="BN197" s="465"/>
      <c r="BO197" s="466"/>
      <c r="BP197" s="464"/>
      <c r="BQ197" s="465"/>
      <c r="BR197" s="465"/>
      <c r="BS197" s="465"/>
      <c r="BT197" s="465"/>
      <c r="BU197" s="465"/>
      <c r="BV197" s="465"/>
      <c r="BW197" s="465"/>
      <c r="BX197" s="465"/>
      <c r="BY197" s="465"/>
      <c r="BZ197" s="465"/>
      <c r="CA197" s="465"/>
      <c r="CB197" s="465"/>
      <c r="CC197" s="465"/>
      <c r="CD197" s="465"/>
      <c r="CE197" s="465"/>
      <c r="CF197" s="465"/>
      <c r="CG197" s="465"/>
      <c r="CH197" s="465"/>
      <c r="CI197" s="465"/>
      <c r="CJ197" s="465"/>
      <c r="CK197" s="465"/>
      <c r="CL197" s="465"/>
      <c r="CM197" s="466"/>
      <c r="CN197" s="198"/>
      <c r="CO197" s="198"/>
      <c r="CP197" s="198"/>
      <c r="CQ197" s="98"/>
    </row>
    <row r="198" spans="1:95" s="119" customFormat="1" ht="18.75" hidden="1" customHeight="1">
      <c r="A198" s="129" t="s">
        <v>176</v>
      </c>
      <c r="B198" s="429" t="s">
        <v>251</v>
      </c>
      <c r="C198" s="429"/>
      <c r="D198" s="429"/>
      <c r="E198" s="117">
        <f>E199</f>
        <v>0</v>
      </c>
      <c r="F198" s="117">
        <f t="shared" ref="F198:K198" si="109">F199</f>
        <v>250000</v>
      </c>
      <c r="G198" s="117">
        <f t="shared" si="109"/>
        <v>0</v>
      </c>
      <c r="H198" s="117">
        <f t="shared" si="109"/>
        <v>0</v>
      </c>
      <c r="I198" s="117">
        <f t="shared" si="109"/>
        <v>0</v>
      </c>
      <c r="J198" s="117">
        <f t="shared" si="109"/>
        <v>0</v>
      </c>
      <c r="K198" s="117">
        <f t="shared" si="109"/>
        <v>0</v>
      </c>
      <c r="L198" s="118"/>
      <c r="M198" s="196"/>
      <c r="N198" s="197"/>
      <c r="O198" s="197"/>
      <c r="P198" s="197"/>
      <c r="Q198" s="197"/>
      <c r="R198" s="197"/>
      <c r="S198" s="197"/>
      <c r="T198" s="464"/>
      <c r="U198" s="465"/>
      <c r="V198" s="465"/>
      <c r="W198" s="465"/>
      <c r="X198" s="465"/>
      <c r="Y198" s="465"/>
      <c r="Z198" s="465"/>
      <c r="AA198" s="465"/>
      <c r="AB198" s="465"/>
      <c r="AC198" s="465"/>
      <c r="AD198" s="465"/>
      <c r="AE198" s="465"/>
      <c r="AF198" s="465"/>
      <c r="AG198" s="465"/>
      <c r="AH198" s="465"/>
      <c r="AI198" s="465"/>
      <c r="AJ198" s="465"/>
      <c r="AK198" s="465"/>
      <c r="AL198" s="465"/>
      <c r="AM198" s="465"/>
      <c r="AN198" s="465"/>
      <c r="AO198" s="465"/>
      <c r="AP198" s="465"/>
      <c r="AQ198" s="466"/>
      <c r="AR198" s="464"/>
      <c r="AS198" s="465"/>
      <c r="AT198" s="465"/>
      <c r="AU198" s="465"/>
      <c r="AV198" s="465"/>
      <c r="AW198" s="465"/>
      <c r="AX198" s="465"/>
      <c r="AY198" s="465"/>
      <c r="AZ198" s="465"/>
      <c r="BA198" s="465"/>
      <c r="BB198" s="465"/>
      <c r="BC198" s="465"/>
      <c r="BD198" s="465"/>
      <c r="BE198" s="465"/>
      <c r="BF198" s="465"/>
      <c r="BG198" s="465"/>
      <c r="BH198" s="465"/>
      <c r="BI198" s="465"/>
      <c r="BJ198" s="465"/>
      <c r="BK198" s="465"/>
      <c r="BL198" s="465"/>
      <c r="BM198" s="465"/>
      <c r="BN198" s="465"/>
      <c r="BO198" s="466"/>
      <c r="BP198" s="464"/>
      <c r="BQ198" s="465"/>
      <c r="BR198" s="465"/>
      <c r="BS198" s="465"/>
      <c r="BT198" s="465"/>
      <c r="BU198" s="465"/>
      <c r="BV198" s="465"/>
      <c r="BW198" s="465"/>
      <c r="BX198" s="465"/>
      <c r="BY198" s="465"/>
      <c r="BZ198" s="465"/>
      <c r="CA198" s="465"/>
      <c r="CB198" s="465"/>
      <c r="CC198" s="465"/>
      <c r="CD198" s="465"/>
      <c r="CE198" s="465"/>
      <c r="CF198" s="465"/>
      <c r="CG198" s="465"/>
      <c r="CH198" s="465"/>
      <c r="CI198" s="465"/>
      <c r="CJ198" s="465"/>
      <c r="CK198" s="465"/>
      <c r="CL198" s="465"/>
      <c r="CM198" s="466"/>
      <c r="CN198" s="198"/>
      <c r="CO198" s="198"/>
      <c r="CP198" s="198"/>
      <c r="CQ198" s="98"/>
    </row>
    <row r="199" spans="1:95" s="57" customFormat="1" ht="31.5" hidden="1" customHeight="1">
      <c r="A199" s="59" t="s">
        <v>231</v>
      </c>
      <c r="B199" s="153">
        <v>2600</v>
      </c>
      <c r="C199" s="153" t="s">
        <v>60</v>
      </c>
      <c r="D199" s="154"/>
      <c r="E199" s="155">
        <f>E201</f>
        <v>0</v>
      </c>
      <c r="F199" s="166">
        <f t="shared" ref="F199:J199" si="110">F201</f>
        <v>250000</v>
      </c>
      <c r="G199" s="155">
        <f t="shared" si="110"/>
        <v>0</v>
      </c>
      <c r="H199" s="155">
        <f t="shared" si="110"/>
        <v>0</v>
      </c>
      <c r="I199" s="155">
        <f t="shared" si="110"/>
        <v>0</v>
      </c>
      <c r="J199" s="155">
        <f t="shared" si="110"/>
        <v>0</v>
      </c>
      <c r="K199" s="172">
        <f t="shared" ref="K199" si="111">K201</f>
        <v>0</v>
      </c>
      <c r="M199" s="196"/>
      <c r="N199" s="197"/>
      <c r="O199" s="197"/>
      <c r="P199" s="197"/>
      <c r="Q199" s="197"/>
      <c r="R199" s="197"/>
      <c r="S199" s="197"/>
      <c r="T199" s="464"/>
      <c r="U199" s="465"/>
      <c r="V199" s="465"/>
      <c r="W199" s="465"/>
      <c r="X199" s="465"/>
      <c r="Y199" s="465"/>
      <c r="Z199" s="465"/>
      <c r="AA199" s="465"/>
      <c r="AB199" s="465"/>
      <c r="AC199" s="465"/>
      <c r="AD199" s="465"/>
      <c r="AE199" s="465"/>
      <c r="AF199" s="465"/>
      <c r="AG199" s="465"/>
      <c r="AH199" s="465"/>
      <c r="AI199" s="465"/>
      <c r="AJ199" s="465"/>
      <c r="AK199" s="465"/>
      <c r="AL199" s="465"/>
      <c r="AM199" s="465"/>
      <c r="AN199" s="465"/>
      <c r="AO199" s="465"/>
      <c r="AP199" s="465"/>
      <c r="AQ199" s="466"/>
      <c r="AR199" s="464"/>
      <c r="AS199" s="465"/>
      <c r="AT199" s="465"/>
      <c r="AU199" s="465"/>
      <c r="AV199" s="465"/>
      <c r="AW199" s="465"/>
      <c r="AX199" s="465"/>
      <c r="AY199" s="465"/>
      <c r="AZ199" s="465"/>
      <c r="BA199" s="465"/>
      <c r="BB199" s="465"/>
      <c r="BC199" s="465"/>
      <c r="BD199" s="465"/>
      <c r="BE199" s="465"/>
      <c r="BF199" s="465"/>
      <c r="BG199" s="465"/>
      <c r="BH199" s="465"/>
      <c r="BI199" s="465"/>
      <c r="BJ199" s="465"/>
      <c r="BK199" s="465"/>
      <c r="BL199" s="465"/>
      <c r="BM199" s="465"/>
      <c r="BN199" s="465"/>
      <c r="BO199" s="466"/>
      <c r="BP199" s="464"/>
      <c r="BQ199" s="465"/>
      <c r="BR199" s="465"/>
      <c r="BS199" s="465"/>
      <c r="BT199" s="465"/>
      <c r="BU199" s="465"/>
      <c r="BV199" s="465"/>
      <c r="BW199" s="465"/>
      <c r="BX199" s="465"/>
      <c r="BY199" s="465"/>
      <c r="BZ199" s="465"/>
      <c r="CA199" s="465"/>
      <c r="CB199" s="465"/>
      <c r="CC199" s="465"/>
      <c r="CD199" s="465"/>
      <c r="CE199" s="465"/>
      <c r="CF199" s="465"/>
      <c r="CG199" s="465"/>
      <c r="CH199" s="465"/>
      <c r="CI199" s="465"/>
      <c r="CJ199" s="465"/>
      <c r="CK199" s="465"/>
      <c r="CL199" s="465"/>
      <c r="CM199" s="466"/>
      <c r="CN199" s="198"/>
      <c r="CO199" s="198"/>
      <c r="CP199" s="198"/>
      <c r="CQ199" s="98"/>
    </row>
    <row r="200" spans="1:95" s="152" customFormat="1" ht="15.75" hidden="1" customHeight="1">
      <c r="A200" s="160" t="s">
        <v>230</v>
      </c>
      <c r="B200" s="154"/>
      <c r="C200" s="154"/>
      <c r="D200" s="154"/>
      <c r="E200" s="156"/>
      <c r="F200" s="163"/>
      <c r="G200" s="156"/>
      <c r="H200" s="156"/>
      <c r="I200" s="156"/>
      <c r="J200" s="157"/>
      <c r="K200" s="177"/>
      <c r="M200" s="196"/>
      <c r="N200" s="197"/>
      <c r="O200" s="197"/>
      <c r="P200" s="197"/>
      <c r="Q200" s="197"/>
      <c r="R200" s="197"/>
      <c r="S200" s="197"/>
      <c r="T200" s="464"/>
      <c r="U200" s="465"/>
      <c r="V200" s="465"/>
      <c r="W200" s="465"/>
      <c r="X200" s="465"/>
      <c r="Y200" s="465"/>
      <c r="Z200" s="465"/>
      <c r="AA200" s="465"/>
      <c r="AB200" s="465"/>
      <c r="AC200" s="465"/>
      <c r="AD200" s="465"/>
      <c r="AE200" s="465"/>
      <c r="AF200" s="465"/>
      <c r="AG200" s="465"/>
      <c r="AH200" s="465"/>
      <c r="AI200" s="465"/>
      <c r="AJ200" s="465"/>
      <c r="AK200" s="465"/>
      <c r="AL200" s="465"/>
      <c r="AM200" s="465"/>
      <c r="AN200" s="465"/>
      <c r="AO200" s="465"/>
      <c r="AP200" s="465"/>
      <c r="AQ200" s="466"/>
      <c r="AR200" s="464"/>
      <c r="AS200" s="465"/>
      <c r="AT200" s="465"/>
      <c r="AU200" s="465"/>
      <c r="AV200" s="465"/>
      <c r="AW200" s="465"/>
      <c r="AX200" s="465"/>
      <c r="AY200" s="465"/>
      <c r="AZ200" s="465"/>
      <c r="BA200" s="465"/>
      <c r="BB200" s="465"/>
      <c r="BC200" s="465"/>
      <c r="BD200" s="465"/>
      <c r="BE200" s="465"/>
      <c r="BF200" s="465"/>
      <c r="BG200" s="465"/>
      <c r="BH200" s="465"/>
      <c r="BI200" s="465"/>
      <c r="BJ200" s="465"/>
      <c r="BK200" s="465"/>
      <c r="BL200" s="465"/>
      <c r="BM200" s="465"/>
      <c r="BN200" s="465"/>
      <c r="BO200" s="466"/>
      <c r="BP200" s="464"/>
      <c r="BQ200" s="465"/>
      <c r="BR200" s="465"/>
      <c r="BS200" s="465"/>
      <c r="BT200" s="465"/>
      <c r="BU200" s="465"/>
      <c r="BV200" s="465"/>
      <c r="BW200" s="465"/>
      <c r="BX200" s="465"/>
      <c r="BY200" s="465"/>
      <c r="BZ200" s="465"/>
      <c r="CA200" s="465"/>
      <c r="CB200" s="465"/>
      <c r="CC200" s="465"/>
      <c r="CD200" s="465"/>
      <c r="CE200" s="465"/>
      <c r="CF200" s="465"/>
      <c r="CG200" s="465"/>
      <c r="CH200" s="465"/>
      <c r="CI200" s="465"/>
      <c r="CJ200" s="465"/>
      <c r="CK200" s="465"/>
      <c r="CL200" s="465"/>
      <c r="CM200" s="466"/>
      <c r="CN200" s="198"/>
      <c r="CO200" s="198"/>
      <c r="CP200" s="198"/>
      <c r="CQ200" s="98"/>
    </row>
    <row r="201" spans="1:95" s="57" customFormat="1" ht="31.5" hidden="1" customHeight="1">
      <c r="A201" s="116" t="s">
        <v>77</v>
      </c>
      <c r="B201" s="159">
        <v>2640</v>
      </c>
      <c r="C201" s="159">
        <v>244</v>
      </c>
      <c r="D201" s="159"/>
      <c r="E201" s="158">
        <f t="shared" ref="E201:J201" si="112">SUM(E202:E204)</f>
        <v>0</v>
      </c>
      <c r="F201" s="166">
        <f t="shared" si="112"/>
        <v>250000</v>
      </c>
      <c r="G201" s="158">
        <f t="shared" si="112"/>
        <v>0</v>
      </c>
      <c r="H201" s="158">
        <f t="shared" si="112"/>
        <v>0</v>
      </c>
      <c r="I201" s="158">
        <f t="shared" si="112"/>
        <v>0</v>
      </c>
      <c r="J201" s="158">
        <f t="shared" si="112"/>
        <v>0</v>
      </c>
      <c r="K201" s="176">
        <f t="shared" ref="K201" si="113">SUM(K202:K204)</f>
        <v>0</v>
      </c>
      <c r="L201" s="111"/>
      <c r="M201" s="196"/>
      <c r="N201" s="197"/>
      <c r="O201" s="197"/>
      <c r="P201" s="197"/>
      <c r="Q201" s="197"/>
      <c r="R201" s="197"/>
      <c r="S201" s="197"/>
      <c r="T201" s="464"/>
      <c r="U201" s="465"/>
      <c r="V201" s="465"/>
      <c r="W201" s="465"/>
      <c r="X201" s="465"/>
      <c r="Y201" s="465"/>
      <c r="Z201" s="465"/>
      <c r="AA201" s="465"/>
      <c r="AB201" s="465"/>
      <c r="AC201" s="465"/>
      <c r="AD201" s="465"/>
      <c r="AE201" s="465"/>
      <c r="AF201" s="465"/>
      <c r="AG201" s="465"/>
      <c r="AH201" s="465"/>
      <c r="AI201" s="465"/>
      <c r="AJ201" s="465"/>
      <c r="AK201" s="465"/>
      <c r="AL201" s="465"/>
      <c r="AM201" s="465"/>
      <c r="AN201" s="465"/>
      <c r="AO201" s="465"/>
      <c r="AP201" s="465"/>
      <c r="AQ201" s="466"/>
      <c r="AR201" s="464"/>
      <c r="AS201" s="465"/>
      <c r="AT201" s="465"/>
      <c r="AU201" s="465"/>
      <c r="AV201" s="465"/>
      <c r="AW201" s="465"/>
      <c r="AX201" s="465"/>
      <c r="AY201" s="465"/>
      <c r="AZ201" s="465"/>
      <c r="BA201" s="465"/>
      <c r="BB201" s="465"/>
      <c r="BC201" s="465"/>
      <c r="BD201" s="465"/>
      <c r="BE201" s="465"/>
      <c r="BF201" s="465"/>
      <c r="BG201" s="465"/>
      <c r="BH201" s="465"/>
      <c r="BI201" s="465"/>
      <c r="BJ201" s="465"/>
      <c r="BK201" s="465"/>
      <c r="BL201" s="465"/>
      <c r="BM201" s="465"/>
      <c r="BN201" s="465"/>
      <c r="BO201" s="466"/>
      <c r="BP201" s="464"/>
      <c r="BQ201" s="465"/>
      <c r="BR201" s="465"/>
      <c r="BS201" s="465"/>
      <c r="BT201" s="465"/>
      <c r="BU201" s="465"/>
      <c r="BV201" s="465"/>
      <c r="BW201" s="465"/>
      <c r="BX201" s="465"/>
      <c r="BY201" s="465"/>
      <c r="BZ201" s="465"/>
      <c r="CA201" s="465"/>
      <c r="CB201" s="465"/>
      <c r="CC201" s="465"/>
      <c r="CD201" s="465"/>
      <c r="CE201" s="465"/>
      <c r="CF201" s="465"/>
      <c r="CG201" s="465"/>
      <c r="CH201" s="465"/>
      <c r="CI201" s="465"/>
      <c r="CJ201" s="465"/>
      <c r="CK201" s="465"/>
      <c r="CL201" s="465"/>
      <c r="CM201" s="466"/>
      <c r="CN201" s="198"/>
      <c r="CO201" s="198"/>
      <c r="CP201" s="198"/>
      <c r="CQ201" s="98"/>
    </row>
    <row r="202" spans="1:95" s="107" customFormat="1" ht="31.5" hidden="1" customHeight="1">
      <c r="A202" s="132" t="s">
        <v>199</v>
      </c>
      <c r="B202" s="104"/>
      <c r="C202" s="105" t="s">
        <v>251</v>
      </c>
      <c r="D202" s="104">
        <v>225</v>
      </c>
      <c r="E202" s="120">
        <v>0</v>
      </c>
      <c r="F202" s="114">
        <v>113000</v>
      </c>
      <c r="G202" s="113">
        <v>0</v>
      </c>
      <c r="H202" s="114">
        <f t="shared" ref="H202:H204" si="114">G202</f>
        <v>0</v>
      </c>
      <c r="I202" s="114">
        <f t="shared" ref="I202:I204" si="115">H202</f>
        <v>0</v>
      </c>
      <c r="J202" s="114">
        <v>0</v>
      </c>
      <c r="K202" s="114">
        <v>0</v>
      </c>
      <c r="L202" s="110"/>
      <c r="M202" s="196"/>
      <c r="N202" s="197"/>
      <c r="O202" s="197"/>
      <c r="P202" s="197"/>
      <c r="Q202" s="197"/>
      <c r="R202" s="197"/>
      <c r="S202" s="197"/>
      <c r="T202" s="464"/>
      <c r="U202" s="465"/>
      <c r="V202" s="465"/>
      <c r="W202" s="465"/>
      <c r="X202" s="465"/>
      <c r="Y202" s="465"/>
      <c r="Z202" s="465"/>
      <c r="AA202" s="465"/>
      <c r="AB202" s="465"/>
      <c r="AC202" s="465"/>
      <c r="AD202" s="465"/>
      <c r="AE202" s="465"/>
      <c r="AF202" s="465"/>
      <c r="AG202" s="465"/>
      <c r="AH202" s="465"/>
      <c r="AI202" s="465"/>
      <c r="AJ202" s="465"/>
      <c r="AK202" s="465"/>
      <c r="AL202" s="465"/>
      <c r="AM202" s="465"/>
      <c r="AN202" s="465"/>
      <c r="AO202" s="465"/>
      <c r="AP202" s="465"/>
      <c r="AQ202" s="466"/>
      <c r="AR202" s="464"/>
      <c r="AS202" s="465"/>
      <c r="AT202" s="465"/>
      <c r="AU202" s="465"/>
      <c r="AV202" s="465"/>
      <c r="AW202" s="465"/>
      <c r="AX202" s="465"/>
      <c r="AY202" s="465"/>
      <c r="AZ202" s="465"/>
      <c r="BA202" s="465"/>
      <c r="BB202" s="465"/>
      <c r="BC202" s="465"/>
      <c r="BD202" s="465"/>
      <c r="BE202" s="465"/>
      <c r="BF202" s="465"/>
      <c r="BG202" s="465"/>
      <c r="BH202" s="465"/>
      <c r="BI202" s="465"/>
      <c r="BJ202" s="465"/>
      <c r="BK202" s="465"/>
      <c r="BL202" s="465"/>
      <c r="BM202" s="465"/>
      <c r="BN202" s="465"/>
      <c r="BO202" s="466"/>
      <c r="BP202" s="464"/>
      <c r="BQ202" s="465"/>
      <c r="BR202" s="465"/>
      <c r="BS202" s="465"/>
      <c r="BT202" s="465"/>
      <c r="BU202" s="465"/>
      <c r="BV202" s="465"/>
      <c r="BW202" s="465"/>
      <c r="BX202" s="465"/>
      <c r="BY202" s="465"/>
      <c r="BZ202" s="465"/>
      <c r="CA202" s="465"/>
      <c r="CB202" s="465"/>
      <c r="CC202" s="465"/>
      <c r="CD202" s="465"/>
      <c r="CE202" s="465"/>
      <c r="CF202" s="465"/>
      <c r="CG202" s="465"/>
      <c r="CH202" s="465"/>
      <c r="CI202" s="465"/>
      <c r="CJ202" s="465"/>
      <c r="CK202" s="465"/>
      <c r="CL202" s="465"/>
      <c r="CM202" s="466"/>
      <c r="CN202" s="198"/>
      <c r="CO202" s="198"/>
      <c r="CP202" s="198"/>
      <c r="CQ202" s="98"/>
    </row>
    <row r="203" spans="1:95" s="107" customFormat="1" ht="31.5" hidden="1" customHeight="1">
      <c r="A203" s="132" t="s">
        <v>200</v>
      </c>
      <c r="B203" s="104"/>
      <c r="C203" s="105" t="s">
        <v>252</v>
      </c>
      <c r="D203" s="104">
        <v>310</v>
      </c>
      <c r="E203" s="120">
        <v>0</v>
      </c>
      <c r="F203" s="114">
        <v>85060</v>
      </c>
      <c r="G203" s="113">
        <v>0</v>
      </c>
      <c r="H203" s="114">
        <f t="shared" si="114"/>
        <v>0</v>
      </c>
      <c r="I203" s="114">
        <f t="shared" si="115"/>
        <v>0</v>
      </c>
      <c r="J203" s="114">
        <v>0</v>
      </c>
      <c r="K203" s="114">
        <v>0</v>
      </c>
      <c r="L203" s="110"/>
      <c r="M203" s="196"/>
      <c r="N203" s="197"/>
      <c r="O203" s="197"/>
      <c r="P203" s="197"/>
      <c r="Q203" s="197"/>
      <c r="R203" s="197"/>
      <c r="S203" s="197"/>
      <c r="T203" s="464"/>
      <c r="U203" s="465"/>
      <c r="V203" s="465"/>
      <c r="W203" s="465"/>
      <c r="X203" s="465"/>
      <c r="Y203" s="465"/>
      <c r="Z203" s="465"/>
      <c r="AA203" s="465"/>
      <c r="AB203" s="465"/>
      <c r="AC203" s="465"/>
      <c r="AD203" s="465"/>
      <c r="AE203" s="465"/>
      <c r="AF203" s="465"/>
      <c r="AG203" s="465"/>
      <c r="AH203" s="465"/>
      <c r="AI203" s="465"/>
      <c r="AJ203" s="465"/>
      <c r="AK203" s="465"/>
      <c r="AL203" s="465"/>
      <c r="AM203" s="465"/>
      <c r="AN203" s="465"/>
      <c r="AO203" s="465"/>
      <c r="AP203" s="465"/>
      <c r="AQ203" s="466"/>
      <c r="AR203" s="464"/>
      <c r="AS203" s="465"/>
      <c r="AT203" s="465"/>
      <c r="AU203" s="465"/>
      <c r="AV203" s="465"/>
      <c r="AW203" s="465"/>
      <c r="AX203" s="465"/>
      <c r="AY203" s="465"/>
      <c r="AZ203" s="465"/>
      <c r="BA203" s="465"/>
      <c r="BB203" s="465"/>
      <c r="BC203" s="465"/>
      <c r="BD203" s="465"/>
      <c r="BE203" s="465"/>
      <c r="BF203" s="465"/>
      <c r="BG203" s="465"/>
      <c r="BH203" s="465"/>
      <c r="BI203" s="465"/>
      <c r="BJ203" s="465"/>
      <c r="BK203" s="465"/>
      <c r="BL203" s="465"/>
      <c r="BM203" s="465"/>
      <c r="BN203" s="465"/>
      <c r="BO203" s="466"/>
      <c r="BP203" s="464"/>
      <c r="BQ203" s="465"/>
      <c r="BR203" s="465"/>
      <c r="BS203" s="465"/>
      <c r="BT203" s="465"/>
      <c r="BU203" s="465"/>
      <c r="BV203" s="465"/>
      <c r="BW203" s="465"/>
      <c r="BX203" s="465"/>
      <c r="BY203" s="465"/>
      <c r="BZ203" s="465"/>
      <c r="CA203" s="465"/>
      <c r="CB203" s="465"/>
      <c r="CC203" s="465"/>
      <c r="CD203" s="465"/>
      <c r="CE203" s="465"/>
      <c r="CF203" s="465"/>
      <c r="CG203" s="465"/>
      <c r="CH203" s="465"/>
      <c r="CI203" s="465"/>
      <c r="CJ203" s="465"/>
      <c r="CK203" s="465"/>
      <c r="CL203" s="465"/>
      <c r="CM203" s="466"/>
      <c r="CN203" s="198"/>
      <c r="CO203" s="198"/>
      <c r="CP203" s="198"/>
      <c r="CQ203" s="98"/>
    </row>
    <row r="204" spans="1:95" s="107" customFormat="1" ht="31.5" hidden="1" customHeight="1">
      <c r="A204" s="132" t="s">
        <v>205</v>
      </c>
      <c r="B204" s="104"/>
      <c r="C204" s="105" t="s">
        <v>253</v>
      </c>
      <c r="D204" s="104">
        <v>346</v>
      </c>
      <c r="E204" s="120">
        <v>0</v>
      </c>
      <c r="F204" s="114">
        <v>51940</v>
      </c>
      <c r="G204" s="113">
        <v>0</v>
      </c>
      <c r="H204" s="114">
        <f t="shared" si="114"/>
        <v>0</v>
      </c>
      <c r="I204" s="114">
        <f t="shared" si="115"/>
        <v>0</v>
      </c>
      <c r="J204" s="114">
        <v>0</v>
      </c>
      <c r="K204" s="114">
        <v>0</v>
      </c>
      <c r="L204" s="110"/>
      <c r="M204" s="196"/>
      <c r="N204" s="197"/>
      <c r="O204" s="197"/>
      <c r="P204" s="197"/>
      <c r="Q204" s="197"/>
      <c r="R204" s="197"/>
      <c r="S204" s="197"/>
      <c r="T204" s="464"/>
      <c r="U204" s="465"/>
      <c r="V204" s="465"/>
      <c r="W204" s="465"/>
      <c r="X204" s="465"/>
      <c r="Y204" s="465"/>
      <c r="Z204" s="465"/>
      <c r="AA204" s="465"/>
      <c r="AB204" s="465"/>
      <c r="AC204" s="465"/>
      <c r="AD204" s="465"/>
      <c r="AE204" s="465"/>
      <c r="AF204" s="465"/>
      <c r="AG204" s="465"/>
      <c r="AH204" s="465"/>
      <c r="AI204" s="465"/>
      <c r="AJ204" s="465"/>
      <c r="AK204" s="465"/>
      <c r="AL204" s="465"/>
      <c r="AM204" s="465"/>
      <c r="AN204" s="465"/>
      <c r="AO204" s="465"/>
      <c r="AP204" s="465"/>
      <c r="AQ204" s="466"/>
      <c r="AR204" s="464"/>
      <c r="AS204" s="465"/>
      <c r="AT204" s="465"/>
      <c r="AU204" s="465"/>
      <c r="AV204" s="465"/>
      <c r="AW204" s="465"/>
      <c r="AX204" s="465"/>
      <c r="AY204" s="465"/>
      <c r="AZ204" s="465"/>
      <c r="BA204" s="465"/>
      <c r="BB204" s="465"/>
      <c r="BC204" s="465"/>
      <c r="BD204" s="465"/>
      <c r="BE204" s="465"/>
      <c r="BF204" s="465"/>
      <c r="BG204" s="465"/>
      <c r="BH204" s="465"/>
      <c r="BI204" s="465"/>
      <c r="BJ204" s="465"/>
      <c r="BK204" s="465"/>
      <c r="BL204" s="465"/>
      <c r="BM204" s="465"/>
      <c r="BN204" s="465"/>
      <c r="BO204" s="466"/>
      <c r="BP204" s="464"/>
      <c r="BQ204" s="465"/>
      <c r="BR204" s="465"/>
      <c r="BS204" s="465"/>
      <c r="BT204" s="465"/>
      <c r="BU204" s="465"/>
      <c r="BV204" s="465"/>
      <c r="BW204" s="465"/>
      <c r="BX204" s="465"/>
      <c r="BY204" s="465"/>
      <c r="BZ204" s="465"/>
      <c r="CA204" s="465"/>
      <c r="CB204" s="465"/>
      <c r="CC204" s="465"/>
      <c r="CD204" s="465"/>
      <c r="CE204" s="465"/>
      <c r="CF204" s="465"/>
      <c r="CG204" s="465"/>
      <c r="CH204" s="465"/>
      <c r="CI204" s="465"/>
      <c r="CJ204" s="465"/>
      <c r="CK204" s="465"/>
      <c r="CL204" s="465"/>
      <c r="CM204" s="466"/>
      <c r="CN204" s="198"/>
      <c r="CO204" s="198"/>
      <c r="CP204" s="198"/>
      <c r="CQ204" s="98"/>
    </row>
    <row r="205" spans="1:95" s="516" customFormat="1" ht="30" customHeight="1">
      <c r="A205" s="505" t="s">
        <v>61</v>
      </c>
      <c r="B205" s="506" t="s">
        <v>224</v>
      </c>
      <c r="C205" s="506"/>
      <c r="D205" s="506"/>
      <c r="E205" s="507">
        <f>E206+E220</f>
        <v>36267408.780000001</v>
      </c>
      <c r="F205" s="507">
        <f t="shared" ref="F205:I205" si="116">F206+F220</f>
        <v>38535242.490000002</v>
      </c>
      <c r="G205" s="507">
        <f>G206+G220</f>
        <v>55298519.200000003</v>
      </c>
      <c r="H205" s="507">
        <f t="shared" si="116"/>
        <v>57178750.003579997</v>
      </c>
      <c r="I205" s="507">
        <f t="shared" si="116"/>
        <v>60599250.001180001</v>
      </c>
      <c r="J205" s="507">
        <f>I205</f>
        <v>60599250.001180001</v>
      </c>
      <c r="K205" s="507">
        <f>J205</f>
        <v>60599250.001180001</v>
      </c>
      <c r="L205" s="508"/>
      <c r="M205" s="509"/>
      <c r="N205" s="510"/>
      <c r="O205" s="510"/>
      <c r="P205" s="510"/>
      <c r="Q205" s="510"/>
      <c r="R205" s="510"/>
      <c r="S205" s="510"/>
      <c r="T205" s="511"/>
      <c r="U205" s="512"/>
      <c r="V205" s="512"/>
      <c r="W205" s="512"/>
      <c r="X205" s="512"/>
      <c r="Y205" s="512"/>
      <c r="Z205" s="512"/>
      <c r="AA205" s="512"/>
      <c r="AB205" s="512"/>
      <c r="AC205" s="512"/>
      <c r="AD205" s="512"/>
      <c r="AE205" s="512"/>
      <c r="AF205" s="512"/>
      <c r="AG205" s="512"/>
      <c r="AH205" s="512"/>
      <c r="AI205" s="512"/>
      <c r="AJ205" s="512"/>
      <c r="AK205" s="512"/>
      <c r="AL205" s="512"/>
      <c r="AM205" s="512"/>
      <c r="AN205" s="512"/>
      <c r="AO205" s="512"/>
      <c r="AP205" s="512"/>
      <c r="AQ205" s="513"/>
      <c r="AR205" s="511"/>
      <c r="AS205" s="512"/>
      <c r="AT205" s="512"/>
      <c r="AU205" s="512"/>
      <c r="AV205" s="512"/>
      <c r="AW205" s="512"/>
      <c r="AX205" s="512"/>
      <c r="AY205" s="512"/>
      <c r="AZ205" s="512"/>
      <c r="BA205" s="512"/>
      <c r="BB205" s="512"/>
      <c r="BC205" s="512"/>
      <c r="BD205" s="512"/>
      <c r="BE205" s="512"/>
      <c r="BF205" s="512"/>
      <c r="BG205" s="512"/>
      <c r="BH205" s="512"/>
      <c r="BI205" s="512"/>
      <c r="BJ205" s="512"/>
      <c r="BK205" s="512"/>
      <c r="BL205" s="512"/>
      <c r="BM205" s="512"/>
      <c r="BN205" s="512"/>
      <c r="BO205" s="513"/>
      <c r="BP205" s="511"/>
      <c r="BQ205" s="512"/>
      <c r="BR205" s="512"/>
      <c r="BS205" s="512"/>
      <c r="BT205" s="512"/>
      <c r="BU205" s="512"/>
      <c r="BV205" s="512"/>
      <c r="BW205" s="512"/>
      <c r="BX205" s="512"/>
      <c r="BY205" s="512"/>
      <c r="BZ205" s="512"/>
      <c r="CA205" s="512"/>
      <c r="CB205" s="512"/>
      <c r="CC205" s="512"/>
      <c r="CD205" s="512"/>
      <c r="CE205" s="512"/>
      <c r="CF205" s="512"/>
      <c r="CG205" s="512"/>
      <c r="CH205" s="512"/>
      <c r="CI205" s="512"/>
      <c r="CJ205" s="512"/>
      <c r="CK205" s="512"/>
      <c r="CL205" s="512"/>
      <c r="CM205" s="513"/>
      <c r="CN205" s="514"/>
      <c r="CO205" s="514"/>
      <c r="CP205" s="514"/>
      <c r="CQ205" s="515"/>
    </row>
    <row r="206" spans="1:95" s="57" customFormat="1" ht="26.25" customHeight="1">
      <c r="A206" s="422" t="s">
        <v>99</v>
      </c>
      <c r="B206" s="423">
        <v>2100</v>
      </c>
      <c r="C206" s="423" t="s">
        <v>60</v>
      </c>
      <c r="D206" s="420"/>
      <c r="E206" s="412">
        <f>E208+E213+E216</f>
        <v>34898870.399999999</v>
      </c>
      <c r="F206" s="413">
        <f t="shared" ref="F206:I206" si="117">F208+F213+F216</f>
        <v>35563501.420000002</v>
      </c>
      <c r="G206" s="412">
        <f>G208+G213+G216</f>
        <v>54594755.810000002</v>
      </c>
      <c r="H206" s="412">
        <f t="shared" si="117"/>
        <v>56714515.433579996</v>
      </c>
      <c r="I206" s="412">
        <f t="shared" si="117"/>
        <v>59987780.93118</v>
      </c>
      <c r="J206" s="412">
        <f>I206</f>
        <v>59987780.93118</v>
      </c>
      <c r="K206" s="412" t="s">
        <v>60</v>
      </c>
      <c r="M206" s="196"/>
      <c r="N206" s="197"/>
      <c r="O206" s="197"/>
      <c r="P206" s="197"/>
      <c r="Q206" s="197"/>
      <c r="R206" s="197"/>
      <c r="S206" s="197"/>
      <c r="T206" s="464"/>
      <c r="U206" s="465"/>
      <c r="V206" s="465"/>
      <c r="W206" s="465"/>
      <c r="X206" s="465"/>
      <c r="Y206" s="465"/>
      <c r="Z206" s="465"/>
      <c r="AA206" s="465"/>
      <c r="AB206" s="465"/>
      <c r="AC206" s="465"/>
      <c r="AD206" s="465"/>
      <c r="AE206" s="465"/>
      <c r="AF206" s="465"/>
      <c r="AG206" s="465"/>
      <c r="AH206" s="465"/>
      <c r="AI206" s="465"/>
      <c r="AJ206" s="465"/>
      <c r="AK206" s="465"/>
      <c r="AL206" s="465"/>
      <c r="AM206" s="465"/>
      <c r="AN206" s="465"/>
      <c r="AO206" s="465"/>
      <c r="AP206" s="465"/>
      <c r="AQ206" s="466"/>
      <c r="AR206" s="464"/>
      <c r="AS206" s="465"/>
      <c r="AT206" s="465"/>
      <c r="AU206" s="465"/>
      <c r="AV206" s="465"/>
      <c r="AW206" s="465"/>
      <c r="AX206" s="465"/>
      <c r="AY206" s="465"/>
      <c r="AZ206" s="465"/>
      <c r="BA206" s="465"/>
      <c r="BB206" s="465"/>
      <c r="BC206" s="465"/>
      <c r="BD206" s="465"/>
      <c r="BE206" s="465"/>
      <c r="BF206" s="465"/>
      <c r="BG206" s="465"/>
      <c r="BH206" s="465"/>
      <c r="BI206" s="465"/>
      <c r="BJ206" s="465"/>
      <c r="BK206" s="465"/>
      <c r="BL206" s="465"/>
      <c r="BM206" s="465"/>
      <c r="BN206" s="465"/>
      <c r="BO206" s="466"/>
      <c r="BP206" s="464"/>
      <c r="BQ206" s="465"/>
      <c r="BR206" s="465"/>
      <c r="BS206" s="465"/>
      <c r="BT206" s="465"/>
      <c r="BU206" s="465"/>
      <c r="BV206" s="465"/>
      <c r="BW206" s="465"/>
      <c r="BX206" s="465"/>
      <c r="BY206" s="465"/>
      <c r="BZ206" s="465"/>
      <c r="CA206" s="465"/>
      <c r="CB206" s="465"/>
      <c r="CC206" s="465"/>
      <c r="CD206" s="465"/>
      <c r="CE206" s="465"/>
      <c r="CF206" s="465"/>
      <c r="CG206" s="465"/>
      <c r="CH206" s="465"/>
      <c r="CI206" s="465"/>
      <c r="CJ206" s="465"/>
      <c r="CK206" s="465"/>
      <c r="CL206" s="465"/>
      <c r="CM206" s="466"/>
      <c r="CN206" s="198"/>
      <c r="CO206" s="198"/>
      <c r="CP206" s="198"/>
      <c r="CQ206" s="98"/>
    </row>
    <row r="207" spans="1:95" s="57" customFormat="1" ht="25.5" customHeight="1">
      <c r="A207" s="422"/>
      <c r="B207" s="423"/>
      <c r="C207" s="423"/>
      <c r="D207" s="420"/>
      <c r="E207" s="412"/>
      <c r="F207" s="413"/>
      <c r="G207" s="412"/>
      <c r="H207" s="412"/>
      <c r="I207" s="412"/>
      <c r="J207" s="412"/>
      <c r="K207" s="412"/>
      <c r="M207" s="196"/>
      <c r="N207" s="197"/>
      <c r="O207" s="197"/>
      <c r="P207" s="197"/>
      <c r="Q207" s="197"/>
      <c r="R207" s="197"/>
      <c r="S207" s="197"/>
      <c r="T207" s="464"/>
      <c r="U207" s="465"/>
      <c r="V207" s="465"/>
      <c r="W207" s="465"/>
      <c r="X207" s="465"/>
      <c r="Y207" s="465"/>
      <c r="Z207" s="465"/>
      <c r="AA207" s="465"/>
      <c r="AB207" s="465"/>
      <c r="AC207" s="465"/>
      <c r="AD207" s="465"/>
      <c r="AE207" s="465"/>
      <c r="AF207" s="465"/>
      <c r="AG207" s="465"/>
      <c r="AH207" s="465"/>
      <c r="AI207" s="465"/>
      <c r="AJ207" s="465"/>
      <c r="AK207" s="465"/>
      <c r="AL207" s="465"/>
      <c r="AM207" s="465"/>
      <c r="AN207" s="465"/>
      <c r="AO207" s="465"/>
      <c r="AP207" s="465"/>
      <c r="AQ207" s="466"/>
      <c r="AR207" s="464"/>
      <c r="AS207" s="465"/>
      <c r="AT207" s="465"/>
      <c r="AU207" s="465"/>
      <c r="AV207" s="465"/>
      <c r="AW207" s="465"/>
      <c r="AX207" s="465"/>
      <c r="AY207" s="465"/>
      <c r="AZ207" s="465"/>
      <c r="BA207" s="465"/>
      <c r="BB207" s="465"/>
      <c r="BC207" s="465"/>
      <c r="BD207" s="465"/>
      <c r="BE207" s="465"/>
      <c r="BF207" s="465"/>
      <c r="BG207" s="465"/>
      <c r="BH207" s="465"/>
      <c r="BI207" s="465"/>
      <c r="BJ207" s="465"/>
      <c r="BK207" s="465"/>
      <c r="BL207" s="465"/>
      <c r="BM207" s="465"/>
      <c r="BN207" s="465"/>
      <c r="BO207" s="466"/>
      <c r="BP207" s="464"/>
      <c r="BQ207" s="465"/>
      <c r="BR207" s="465"/>
      <c r="BS207" s="465"/>
      <c r="BT207" s="465"/>
      <c r="BU207" s="465"/>
      <c r="BV207" s="465"/>
      <c r="BW207" s="465"/>
      <c r="BX207" s="465"/>
      <c r="BY207" s="465"/>
      <c r="BZ207" s="465"/>
      <c r="CA207" s="465"/>
      <c r="CB207" s="465"/>
      <c r="CC207" s="465"/>
      <c r="CD207" s="465"/>
      <c r="CE207" s="465"/>
      <c r="CF207" s="465"/>
      <c r="CG207" s="465"/>
      <c r="CH207" s="465"/>
      <c r="CI207" s="465"/>
      <c r="CJ207" s="465"/>
      <c r="CK207" s="465"/>
      <c r="CL207" s="465"/>
      <c r="CM207" s="466"/>
      <c r="CN207" s="198"/>
      <c r="CO207" s="198"/>
      <c r="CP207" s="198"/>
      <c r="CQ207" s="98"/>
    </row>
    <row r="208" spans="1:95" s="57" customFormat="1" ht="18" customHeight="1">
      <c r="A208" s="422" t="s">
        <v>100</v>
      </c>
      <c r="B208" s="423">
        <v>2110</v>
      </c>
      <c r="C208" s="423">
        <v>111</v>
      </c>
      <c r="D208" s="420"/>
      <c r="E208" s="412">
        <f>SUM(E211:E212)</f>
        <v>26725653.600000001</v>
      </c>
      <c r="F208" s="413">
        <f>SUM(F211:F212)</f>
        <v>27136486.32</v>
      </c>
      <c r="G208" s="412">
        <f>SUM(G211:G212)</f>
        <v>41932300.93</v>
      </c>
      <c r="H208" s="412">
        <f>SUM(H211:H212)</f>
        <v>43444328.289999999</v>
      </c>
      <c r="I208" s="412">
        <f>SUM(I211:I212)</f>
        <v>45958357.090000004</v>
      </c>
      <c r="J208" s="412">
        <f>I208</f>
        <v>45958357.090000004</v>
      </c>
      <c r="K208" s="412" t="s">
        <v>60</v>
      </c>
      <c r="M208" s="196"/>
      <c r="N208" s="197"/>
      <c r="O208" s="197"/>
      <c r="P208" s="197"/>
      <c r="Q208" s="197"/>
      <c r="R208" s="197"/>
      <c r="S208" s="197"/>
      <c r="T208" s="464"/>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6"/>
      <c r="AR208" s="464"/>
      <c r="AS208" s="465"/>
      <c r="AT208" s="465"/>
      <c r="AU208" s="465"/>
      <c r="AV208" s="465"/>
      <c r="AW208" s="465"/>
      <c r="AX208" s="465"/>
      <c r="AY208" s="465"/>
      <c r="AZ208" s="465"/>
      <c r="BA208" s="465"/>
      <c r="BB208" s="465"/>
      <c r="BC208" s="465"/>
      <c r="BD208" s="465"/>
      <c r="BE208" s="465"/>
      <c r="BF208" s="465"/>
      <c r="BG208" s="465"/>
      <c r="BH208" s="465"/>
      <c r="BI208" s="465"/>
      <c r="BJ208" s="465"/>
      <c r="BK208" s="465"/>
      <c r="BL208" s="465"/>
      <c r="BM208" s="465"/>
      <c r="BN208" s="465"/>
      <c r="BO208" s="466"/>
      <c r="BP208" s="464"/>
      <c r="BQ208" s="465"/>
      <c r="BR208" s="465"/>
      <c r="BS208" s="465"/>
      <c r="BT208" s="465"/>
      <c r="BU208" s="465"/>
      <c r="BV208" s="465"/>
      <c r="BW208" s="465"/>
      <c r="BX208" s="465"/>
      <c r="BY208" s="465"/>
      <c r="BZ208" s="465"/>
      <c r="CA208" s="465"/>
      <c r="CB208" s="465"/>
      <c r="CC208" s="465"/>
      <c r="CD208" s="465"/>
      <c r="CE208" s="465"/>
      <c r="CF208" s="465"/>
      <c r="CG208" s="465"/>
      <c r="CH208" s="465"/>
      <c r="CI208" s="465"/>
      <c r="CJ208" s="465"/>
      <c r="CK208" s="465"/>
      <c r="CL208" s="465"/>
      <c r="CM208" s="466"/>
      <c r="CN208" s="198"/>
      <c r="CO208" s="198"/>
      <c r="CP208" s="198"/>
      <c r="CQ208" s="98"/>
    </row>
    <row r="209" spans="1:105" s="57" customFormat="1" ht="18" customHeight="1">
      <c r="A209" s="422"/>
      <c r="B209" s="423"/>
      <c r="C209" s="423"/>
      <c r="D209" s="420"/>
      <c r="E209" s="412"/>
      <c r="F209" s="413"/>
      <c r="G209" s="412"/>
      <c r="H209" s="412"/>
      <c r="I209" s="412"/>
      <c r="J209" s="412"/>
      <c r="K209" s="412"/>
      <c r="L209" s="111"/>
      <c r="M209" s="196"/>
      <c r="N209" s="197"/>
      <c r="O209" s="197"/>
      <c r="P209" s="197"/>
      <c r="Q209" s="197"/>
      <c r="R209" s="197"/>
      <c r="S209" s="197"/>
      <c r="T209" s="464"/>
      <c r="U209" s="465"/>
      <c r="V209" s="465"/>
      <c r="W209" s="465"/>
      <c r="X209" s="465"/>
      <c r="Y209" s="465"/>
      <c r="Z209" s="465"/>
      <c r="AA209" s="465"/>
      <c r="AB209" s="465"/>
      <c r="AC209" s="465"/>
      <c r="AD209" s="465"/>
      <c r="AE209" s="465"/>
      <c r="AF209" s="465"/>
      <c r="AG209" s="465"/>
      <c r="AH209" s="465"/>
      <c r="AI209" s="465"/>
      <c r="AJ209" s="465"/>
      <c r="AK209" s="465"/>
      <c r="AL209" s="465"/>
      <c r="AM209" s="465"/>
      <c r="AN209" s="465"/>
      <c r="AO209" s="465"/>
      <c r="AP209" s="465"/>
      <c r="AQ209" s="466"/>
      <c r="AR209" s="464"/>
      <c r="AS209" s="465"/>
      <c r="AT209" s="465"/>
      <c r="AU209" s="465"/>
      <c r="AV209" s="465"/>
      <c r="AW209" s="465"/>
      <c r="AX209" s="465"/>
      <c r="AY209" s="465"/>
      <c r="AZ209" s="465"/>
      <c r="BA209" s="465"/>
      <c r="BB209" s="465"/>
      <c r="BC209" s="465"/>
      <c r="BD209" s="465"/>
      <c r="BE209" s="465"/>
      <c r="BF209" s="465"/>
      <c r="BG209" s="465"/>
      <c r="BH209" s="465"/>
      <c r="BI209" s="465"/>
      <c r="BJ209" s="465"/>
      <c r="BK209" s="465"/>
      <c r="BL209" s="465"/>
      <c r="BM209" s="465"/>
      <c r="BN209" s="465"/>
      <c r="BO209" s="466"/>
      <c r="BP209" s="464"/>
      <c r="BQ209" s="465"/>
      <c r="BR209" s="465"/>
      <c r="BS209" s="465"/>
      <c r="BT209" s="465"/>
      <c r="BU209" s="465"/>
      <c r="BV209" s="465"/>
      <c r="BW209" s="465"/>
      <c r="BX209" s="465"/>
      <c r="BY209" s="465"/>
      <c r="BZ209" s="465"/>
      <c r="CA209" s="465"/>
      <c r="CB209" s="465"/>
      <c r="CC209" s="465"/>
      <c r="CD209" s="465"/>
      <c r="CE209" s="465"/>
      <c r="CF209" s="465"/>
      <c r="CG209" s="465"/>
      <c r="CH209" s="465"/>
      <c r="CI209" s="465"/>
      <c r="CJ209" s="465"/>
      <c r="CK209" s="465"/>
      <c r="CL209" s="465"/>
      <c r="CM209" s="466"/>
      <c r="CN209" s="198"/>
      <c r="CO209" s="198"/>
      <c r="CP209" s="198"/>
      <c r="CQ209" s="98"/>
    </row>
    <row r="210" spans="1:105" s="103" customFormat="1" ht="18" customHeight="1">
      <c r="A210" s="130" t="s">
        <v>189</v>
      </c>
      <c r="B210" s="99"/>
      <c r="C210" s="100"/>
      <c r="D210" s="104"/>
      <c r="E210" s="101"/>
      <c r="F210" s="101"/>
      <c r="G210" s="102"/>
      <c r="H210" s="99"/>
      <c r="I210" s="99"/>
      <c r="J210" s="99"/>
      <c r="K210" s="99"/>
      <c r="L210" s="109"/>
      <c r="M210" s="196"/>
      <c r="N210" s="197"/>
      <c r="O210" s="197"/>
      <c r="P210" s="197"/>
      <c r="Q210" s="197"/>
      <c r="R210" s="197"/>
      <c r="S210" s="197"/>
      <c r="T210" s="464"/>
      <c r="U210" s="465"/>
      <c r="V210" s="465"/>
      <c r="W210" s="465"/>
      <c r="X210" s="465"/>
      <c r="Y210" s="465"/>
      <c r="Z210" s="465"/>
      <c r="AA210" s="465"/>
      <c r="AB210" s="465"/>
      <c r="AC210" s="465"/>
      <c r="AD210" s="465"/>
      <c r="AE210" s="465"/>
      <c r="AF210" s="465"/>
      <c r="AG210" s="465"/>
      <c r="AH210" s="465"/>
      <c r="AI210" s="465"/>
      <c r="AJ210" s="465"/>
      <c r="AK210" s="465"/>
      <c r="AL210" s="465"/>
      <c r="AM210" s="465"/>
      <c r="AN210" s="465"/>
      <c r="AO210" s="465"/>
      <c r="AP210" s="465"/>
      <c r="AQ210" s="466"/>
      <c r="AR210" s="464"/>
      <c r="AS210" s="465"/>
      <c r="AT210" s="465"/>
      <c r="AU210" s="465"/>
      <c r="AV210" s="465"/>
      <c r="AW210" s="465"/>
      <c r="AX210" s="465"/>
      <c r="AY210" s="465"/>
      <c r="AZ210" s="465"/>
      <c r="BA210" s="465"/>
      <c r="BB210" s="465"/>
      <c r="BC210" s="465"/>
      <c r="BD210" s="465"/>
      <c r="BE210" s="465"/>
      <c r="BF210" s="465"/>
      <c r="BG210" s="465"/>
      <c r="BH210" s="465"/>
      <c r="BI210" s="465"/>
      <c r="BJ210" s="465"/>
      <c r="BK210" s="465"/>
      <c r="BL210" s="465"/>
      <c r="BM210" s="465"/>
      <c r="BN210" s="465"/>
      <c r="BO210" s="466"/>
      <c r="BP210" s="464"/>
      <c r="BQ210" s="465"/>
      <c r="BR210" s="465"/>
      <c r="BS210" s="465"/>
      <c r="BT210" s="465"/>
      <c r="BU210" s="465"/>
      <c r="BV210" s="465"/>
      <c r="BW210" s="465"/>
      <c r="BX210" s="465"/>
      <c r="BY210" s="465"/>
      <c r="BZ210" s="465"/>
      <c r="CA210" s="465"/>
      <c r="CB210" s="465"/>
      <c r="CC210" s="465"/>
      <c r="CD210" s="465"/>
      <c r="CE210" s="465"/>
      <c r="CF210" s="465"/>
      <c r="CG210" s="465"/>
      <c r="CH210" s="465"/>
      <c r="CI210" s="465"/>
      <c r="CJ210" s="465"/>
      <c r="CK210" s="465"/>
      <c r="CL210" s="465"/>
      <c r="CM210" s="466"/>
      <c r="CN210" s="198"/>
      <c r="CO210" s="198"/>
      <c r="CP210" s="198"/>
      <c r="CQ210" s="98"/>
    </row>
    <row r="211" spans="1:105" s="107" customFormat="1" ht="18" customHeight="1">
      <c r="A211" s="131" t="s">
        <v>190</v>
      </c>
      <c r="B211" s="104"/>
      <c r="C211" s="105" t="s">
        <v>178</v>
      </c>
      <c r="D211" s="104">
        <v>211</v>
      </c>
      <c r="E211" s="106">
        <v>26640292.370000001</v>
      </c>
      <c r="F211" s="114">
        <v>27056486.32</v>
      </c>
      <c r="G211" s="114">
        <v>41757300.93</v>
      </c>
      <c r="H211" s="114">
        <v>43444328.289999999</v>
      </c>
      <c r="I211" s="114">
        <v>45958357.090000004</v>
      </c>
      <c r="J211" s="114">
        <f t="shared" ref="J211:J217" si="118">I211</f>
        <v>45958357.090000004</v>
      </c>
      <c r="K211" s="104" t="s">
        <v>3</v>
      </c>
      <c r="L211" s="110"/>
      <c r="M211" s="196"/>
      <c r="N211" s="197"/>
      <c r="O211" s="197"/>
      <c r="P211" s="197"/>
      <c r="Q211" s="197"/>
      <c r="R211" s="197"/>
      <c r="S211" s="197"/>
      <c r="T211" s="464"/>
      <c r="U211" s="465"/>
      <c r="V211" s="465"/>
      <c r="W211" s="465"/>
      <c r="X211" s="465"/>
      <c r="Y211" s="465"/>
      <c r="Z211" s="465"/>
      <c r="AA211" s="465"/>
      <c r="AB211" s="465"/>
      <c r="AC211" s="465"/>
      <c r="AD211" s="465"/>
      <c r="AE211" s="465"/>
      <c r="AF211" s="465"/>
      <c r="AG211" s="465"/>
      <c r="AH211" s="465"/>
      <c r="AI211" s="465"/>
      <c r="AJ211" s="465"/>
      <c r="AK211" s="465"/>
      <c r="AL211" s="465"/>
      <c r="AM211" s="465"/>
      <c r="AN211" s="465"/>
      <c r="AO211" s="465"/>
      <c r="AP211" s="465"/>
      <c r="AQ211" s="466"/>
      <c r="AR211" s="464"/>
      <c r="AS211" s="465"/>
      <c r="AT211" s="465"/>
      <c r="AU211" s="465"/>
      <c r="AV211" s="465"/>
      <c r="AW211" s="465"/>
      <c r="AX211" s="465"/>
      <c r="AY211" s="465"/>
      <c r="AZ211" s="465"/>
      <c r="BA211" s="465"/>
      <c r="BB211" s="465"/>
      <c r="BC211" s="465"/>
      <c r="BD211" s="465"/>
      <c r="BE211" s="465"/>
      <c r="BF211" s="465"/>
      <c r="BG211" s="465"/>
      <c r="BH211" s="465"/>
      <c r="BI211" s="465"/>
      <c r="BJ211" s="465"/>
      <c r="BK211" s="465"/>
      <c r="BL211" s="465"/>
      <c r="BM211" s="465"/>
      <c r="BN211" s="465"/>
      <c r="BO211" s="466"/>
      <c r="BP211" s="464"/>
      <c r="BQ211" s="465"/>
      <c r="BR211" s="465"/>
      <c r="BS211" s="465"/>
      <c r="BT211" s="465"/>
      <c r="BU211" s="465"/>
      <c r="BV211" s="465"/>
      <c r="BW211" s="465"/>
      <c r="BX211" s="465"/>
      <c r="BY211" s="465"/>
      <c r="BZ211" s="465"/>
      <c r="CA211" s="465"/>
      <c r="CB211" s="465"/>
      <c r="CC211" s="465"/>
      <c r="CD211" s="465"/>
      <c r="CE211" s="465"/>
      <c r="CF211" s="465"/>
      <c r="CG211" s="465"/>
      <c r="CH211" s="465"/>
      <c r="CI211" s="465"/>
      <c r="CJ211" s="465"/>
      <c r="CK211" s="465"/>
      <c r="CL211" s="465"/>
      <c r="CM211" s="466"/>
      <c r="CN211" s="198"/>
      <c r="CO211" s="198"/>
      <c r="CP211" s="198"/>
      <c r="CQ211" s="98"/>
    </row>
    <row r="212" spans="1:105" s="107" customFormat="1" ht="35.25" customHeight="1">
      <c r="A212" s="131" t="s">
        <v>192</v>
      </c>
      <c r="B212" s="104"/>
      <c r="C212" s="105" t="s">
        <v>178</v>
      </c>
      <c r="D212" s="104">
        <v>266</v>
      </c>
      <c r="E212" s="108">
        <v>85361.23</v>
      </c>
      <c r="F212" s="112">
        <v>80000</v>
      </c>
      <c r="G212" s="113">
        <v>175000</v>
      </c>
      <c r="H212" s="114">
        <v>0</v>
      </c>
      <c r="I212" s="114">
        <f>H212</f>
        <v>0</v>
      </c>
      <c r="J212" s="114">
        <f t="shared" si="118"/>
        <v>0</v>
      </c>
      <c r="K212" s="104" t="s">
        <v>3</v>
      </c>
      <c r="L212" s="110"/>
      <c r="M212" s="196"/>
      <c r="N212" s="197"/>
      <c r="O212" s="197"/>
      <c r="P212" s="197"/>
      <c r="Q212" s="197"/>
      <c r="R212" s="197"/>
      <c r="S212" s="197"/>
      <c r="T212" s="464"/>
      <c r="U212" s="465"/>
      <c r="V212" s="465"/>
      <c r="W212" s="465"/>
      <c r="X212" s="465"/>
      <c r="Y212" s="465"/>
      <c r="Z212" s="465"/>
      <c r="AA212" s="465"/>
      <c r="AB212" s="465"/>
      <c r="AC212" s="465"/>
      <c r="AD212" s="465"/>
      <c r="AE212" s="465"/>
      <c r="AF212" s="465"/>
      <c r="AG212" s="465"/>
      <c r="AH212" s="465"/>
      <c r="AI212" s="465"/>
      <c r="AJ212" s="465"/>
      <c r="AK212" s="465"/>
      <c r="AL212" s="465"/>
      <c r="AM212" s="465"/>
      <c r="AN212" s="465"/>
      <c r="AO212" s="465"/>
      <c r="AP212" s="465"/>
      <c r="AQ212" s="466"/>
      <c r="AR212" s="464"/>
      <c r="AS212" s="465"/>
      <c r="AT212" s="465"/>
      <c r="AU212" s="465"/>
      <c r="AV212" s="465"/>
      <c r="AW212" s="465"/>
      <c r="AX212" s="465"/>
      <c r="AY212" s="465"/>
      <c r="AZ212" s="465"/>
      <c r="BA212" s="465"/>
      <c r="BB212" s="465"/>
      <c r="BC212" s="465"/>
      <c r="BD212" s="465"/>
      <c r="BE212" s="465"/>
      <c r="BF212" s="465"/>
      <c r="BG212" s="465"/>
      <c r="BH212" s="465"/>
      <c r="BI212" s="465"/>
      <c r="BJ212" s="465"/>
      <c r="BK212" s="465"/>
      <c r="BL212" s="465"/>
      <c r="BM212" s="465"/>
      <c r="BN212" s="465"/>
      <c r="BO212" s="466"/>
      <c r="BP212" s="464"/>
      <c r="BQ212" s="465"/>
      <c r="BR212" s="465"/>
      <c r="BS212" s="465"/>
      <c r="BT212" s="465"/>
      <c r="BU212" s="465"/>
      <c r="BV212" s="465"/>
      <c r="BW212" s="465"/>
      <c r="BX212" s="465"/>
      <c r="BY212" s="465"/>
      <c r="BZ212" s="465"/>
      <c r="CA212" s="465"/>
      <c r="CB212" s="465"/>
      <c r="CC212" s="465"/>
      <c r="CD212" s="465"/>
      <c r="CE212" s="465"/>
      <c r="CF212" s="465"/>
      <c r="CG212" s="465"/>
      <c r="CH212" s="465"/>
      <c r="CI212" s="465"/>
      <c r="CJ212" s="465"/>
      <c r="CK212" s="465"/>
      <c r="CL212" s="465"/>
      <c r="CM212" s="466"/>
      <c r="CN212" s="198"/>
      <c r="CO212" s="198"/>
      <c r="CP212" s="198"/>
      <c r="CQ212" s="98"/>
    </row>
    <row r="213" spans="1:105" s="57" customFormat="1" ht="50.25" customHeight="1">
      <c r="A213" s="80" t="s">
        <v>71</v>
      </c>
      <c r="B213" s="79">
        <v>2120</v>
      </c>
      <c r="C213" s="79">
        <v>112</v>
      </c>
      <c r="D213" s="76"/>
      <c r="E213" s="81">
        <f>SUM(E215)</f>
        <v>112545</v>
      </c>
      <c r="F213" s="166">
        <f t="shared" ref="F213" si="119">SUM(F215)</f>
        <v>68800</v>
      </c>
      <c r="G213" s="81">
        <f>SUM(G215+G214)</f>
        <v>51750</v>
      </c>
      <c r="H213" s="245">
        <f>SUM(H215+H214)</f>
        <v>150000</v>
      </c>
      <c r="I213" s="245">
        <f t="shared" ref="I213:J213" si="120">SUM(I215+I214)</f>
        <v>150000</v>
      </c>
      <c r="J213" s="245">
        <f t="shared" si="120"/>
        <v>150000</v>
      </c>
      <c r="K213" s="172" t="s">
        <v>60</v>
      </c>
      <c r="L213" s="111"/>
      <c r="M213" s="196"/>
      <c r="N213" s="197"/>
      <c r="O213" s="197"/>
      <c r="P213" s="197"/>
      <c r="Q213" s="197"/>
      <c r="R213" s="197"/>
      <c r="S213" s="197"/>
      <c r="T213" s="464"/>
      <c r="U213" s="465"/>
      <c r="V213" s="465"/>
      <c r="W213" s="465"/>
      <c r="X213" s="465"/>
      <c r="Y213" s="465"/>
      <c r="Z213" s="465"/>
      <c r="AA213" s="465"/>
      <c r="AB213" s="465"/>
      <c r="AC213" s="465"/>
      <c r="AD213" s="465"/>
      <c r="AE213" s="465"/>
      <c r="AF213" s="465"/>
      <c r="AG213" s="465"/>
      <c r="AH213" s="465"/>
      <c r="AI213" s="465"/>
      <c r="AJ213" s="465"/>
      <c r="AK213" s="465"/>
      <c r="AL213" s="465"/>
      <c r="AM213" s="465"/>
      <c r="AN213" s="465"/>
      <c r="AO213" s="465"/>
      <c r="AP213" s="465"/>
      <c r="AQ213" s="466"/>
      <c r="AR213" s="464"/>
      <c r="AS213" s="465"/>
      <c r="AT213" s="465"/>
      <c r="AU213" s="465"/>
      <c r="AV213" s="465"/>
      <c r="AW213" s="465"/>
      <c r="AX213" s="465"/>
      <c r="AY213" s="465"/>
      <c r="AZ213" s="465"/>
      <c r="BA213" s="465"/>
      <c r="BB213" s="465"/>
      <c r="BC213" s="465"/>
      <c r="BD213" s="465"/>
      <c r="BE213" s="465"/>
      <c r="BF213" s="465"/>
      <c r="BG213" s="465"/>
      <c r="BH213" s="465"/>
      <c r="BI213" s="465"/>
      <c r="BJ213" s="465"/>
      <c r="BK213" s="465"/>
      <c r="BL213" s="465"/>
      <c r="BM213" s="465"/>
      <c r="BN213" s="465"/>
      <c r="BO213" s="466"/>
      <c r="BP213" s="464"/>
      <c r="BQ213" s="465"/>
      <c r="BR213" s="465"/>
      <c r="BS213" s="465"/>
      <c r="BT213" s="465"/>
      <c r="BU213" s="465"/>
      <c r="BV213" s="465"/>
      <c r="BW213" s="465"/>
      <c r="BX213" s="465"/>
      <c r="BY213" s="465"/>
      <c r="BZ213" s="465"/>
      <c r="CA213" s="465"/>
      <c r="CB213" s="465"/>
      <c r="CC213" s="465"/>
      <c r="CD213" s="465"/>
      <c r="CE213" s="465"/>
      <c r="CF213" s="465"/>
      <c r="CG213" s="465"/>
      <c r="CH213" s="465"/>
      <c r="CI213" s="465"/>
      <c r="CJ213" s="465"/>
      <c r="CK213" s="465"/>
      <c r="CL213" s="465"/>
      <c r="CM213" s="466"/>
      <c r="CN213" s="198"/>
      <c r="CO213" s="198"/>
      <c r="CP213" s="198"/>
      <c r="CQ213" s="98"/>
    </row>
    <row r="214" spans="1:105" s="57" customFormat="1" ht="36" customHeight="1">
      <c r="A214" s="244" t="s">
        <v>207</v>
      </c>
      <c r="B214" s="249"/>
      <c r="C214" s="105" t="s">
        <v>178</v>
      </c>
      <c r="D214" s="248">
        <v>212</v>
      </c>
      <c r="E214" s="245"/>
      <c r="F214" s="247"/>
      <c r="G214" s="246">
        <v>0</v>
      </c>
      <c r="H214" s="246">
        <v>0</v>
      </c>
      <c r="I214" s="246">
        <v>0</v>
      </c>
      <c r="J214" s="246">
        <v>0</v>
      </c>
      <c r="K214" s="246" t="s">
        <v>3</v>
      </c>
      <c r="L214" s="111"/>
      <c r="M214" s="196"/>
      <c r="N214" s="197"/>
      <c r="O214" s="197"/>
      <c r="P214" s="197"/>
      <c r="Q214" s="197"/>
      <c r="R214" s="464"/>
      <c r="S214" s="465"/>
      <c r="T214" s="465"/>
      <c r="U214" s="465"/>
      <c r="V214" s="465"/>
      <c r="W214" s="465"/>
      <c r="X214" s="465"/>
      <c r="Y214" s="465"/>
      <c r="Z214" s="465"/>
      <c r="AA214" s="465"/>
      <c r="AB214" s="465"/>
      <c r="AC214" s="465"/>
      <c r="AD214" s="465"/>
      <c r="AE214" s="465"/>
      <c r="AF214" s="465"/>
      <c r="AG214" s="465"/>
      <c r="AH214" s="465"/>
      <c r="AI214" s="465"/>
      <c r="AJ214" s="465"/>
      <c r="AK214" s="465"/>
      <c r="AL214" s="465"/>
      <c r="AM214" s="466"/>
      <c r="AN214" s="464"/>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c r="BI214" s="466"/>
      <c r="BJ214" s="464"/>
      <c r="BK214" s="465"/>
      <c r="BL214" s="465"/>
      <c r="BM214" s="465"/>
      <c r="BN214" s="465"/>
      <c r="BO214" s="465"/>
      <c r="BP214" s="465"/>
      <c r="BQ214" s="465"/>
      <c r="BR214" s="465"/>
      <c r="BS214" s="465"/>
      <c r="BT214" s="465"/>
      <c r="BU214" s="465"/>
      <c r="BV214" s="465"/>
      <c r="BW214" s="465"/>
      <c r="BX214" s="465"/>
      <c r="BY214" s="465"/>
      <c r="BZ214" s="465"/>
      <c r="CA214" s="465"/>
      <c r="CB214" s="465"/>
      <c r="CC214" s="465"/>
      <c r="CD214" s="465"/>
      <c r="CE214" s="466"/>
      <c r="CF214" s="464"/>
      <c r="CG214" s="465"/>
      <c r="CH214" s="465"/>
      <c r="CI214" s="465"/>
      <c r="CJ214" s="465"/>
      <c r="CK214" s="465"/>
      <c r="CL214" s="465"/>
      <c r="CM214" s="465"/>
      <c r="CN214" s="465"/>
      <c r="CO214" s="465"/>
      <c r="CP214" s="465"/>
      <c r="CQ214" s="465"/>
      <c r="CR214" s="465"/>
      <c r="CS214" s="465"/>
      <c r="CT214" s="465"/>
      <c r="CU214" s="465"/>
      <c r="CV214" s="465"/>
      <c r="CW214" s="465"/>
      <c r="CX214" s="465"/>
      <c r="CY214" s="465"/>
      <c r="CZ214" s="465"/>
      <c r="DA214" s="466"/>
    </row>
    <row r="215" spans="1:105" s="107" customFormat="1" ht="35.25" customHeight="1">
      <c r="A215" s="131" t="s">
        <v>193</v>
      </c>
      <c r="B215" s="104"/>
      <c r="C215" s="105" t="s">
        <v>178</v>
      </c>
      <c r="D215" s="104">
        <v>226</v>
      </c>
      <c r="E215" s="112">
        <v>112545</v>
      </c>
      <c r="F215" s="112">
        <v>68800</v>
      </c>
      <c r="G215" s="113">
        <v>51750</v>
      </c>
      <c r="H215" s="114">
        <v>150000</v>
      </c>
      <c r="I215" s="114">
        <f>H215</f>
        <v>150000</v>
      </c>
      <c r="J215" s="114">
        <f t="shared" si="118"/>
        <v>150000</v>
      </c>
      <c r="K215" s="104" t="s">
        <v>3</v>
      </c>
      <c r="L215" s="110"/>
      <c r="M215" s="196"/>
      <c r="N215" s="197"/>
      <c r="O215" s="197"/>
      <c r="P215" s="197"/>
      <c r="Q215" s="197"/>
      <c r="R215" s="197"/>
      <c r="S215" s="197"/>
      <c r="T215" s="464"/>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6"/>
      <c r="AR215" s="464"/>
      <c r="AS215" s="465"/>
      <c r="AT215" s="465"/>
      <c r="AU215" s="465"/>
      <c r="AV215" s="465"/>
      <c r="AW215" s="465"/>
      <c r="AX215" s="465"/>
      <c r="AY215" s="465"/>
      <c r="AZ215" s="465"/>
      <c r="BA215" s="465"/>
      <c r="BB215" s="465"/>
      <c r="BC215" s="465"/>
      <c r="BD215" s="465"/>
      <c r="BE215" s="465"/>
      <c r="BF215" s="465"/>
      <c r="BG215" s="465"/>
      <c r="BH215" s="465"/>
      <c r="BI215" s="465"/>
      <c r="BJ215" s="465"/>
      <c r="BK215" s="465"/>
      <c r="BL215" s="465"/>
      <c r="BM215" s="465"/>
      <c r="BN215" s="465"/>
      <c r="BO215" s="466"/>
      <c r="BP215" s="464"/>
      <c r="BQ215" s="465"/>
      <c r="BR215" s="465"/>
      <c r="BS215" s="465"/>
      <c r="BT215" s="465"/>
      <c r="BU215" s="465"/>
      <c r="BV215" s="465"/>
      <c r="BW215" s="465"/>
      <c r="BX215" s="465"/>
      <c r="BY215" s="465"/>
      <c r="BZ215" s="465"/>
      <c r="CA215" s="465"/>
      <c r="CB215" s="465"/>
      <c r="CC215" s="465"/>
      <c r="CD215" s="465"/>
      <c r="CE215" s="465"/>
      <c r="CF215" s="465"/>
      <c r="CG215" s="465"/>
      <c r="CH215" s="465"/>
      <c r="CI215" s="465"/>
      <c r="CJ215" s="465"/>
      <c r="CK215" s="465"/>
      <c r="CL215" s="465"/>
      <c r="CM215" s="466"/>
      <c r="CN215" s="198"/>
      <c r="CO215" s="198"/>
      <c r="CP215" s="198"/>
      <c r="CQ215" s="98"/>
    </row>
    <row r="216" spans="1:105" s="57" customFormat="1" ht="87.75" customHeight="1">
      <c r="A216" s="80" t="s">
        <v>72</v>
      </c>
      <c r="B216" s="79">
        <v>2140</v>
      </c>
      <c r="C216" s="79">
        <v>119</v>
      </c>
      <c r="D216" s="76"/>
      <c r="E216" s="81">
        <f>E217</f>
        <v>8060671.7999999998</v>
      </c>
      <c r="F216" s="166">
        <f t="shared" ref="F216" si="121">F217</f>
        <v>8358215.0999999996</v>
      </c>
      <c r="G216" s="81">
        <f t="shared" ref="G216" si="122">G217</f>
        <v>12610704.880000001</v>
      </c>
      <c r="H216" s="81">
        <f t="shared" ref="H216" si="123">H217</f>
        <v>13120187.143579999</v>
      </c>
      <c r="I216" s="81">
        <f t="shared" ref="I216" si="124">I217</f>
        <v>13879423.84118</v>
      </c>
      <c r="J216" s="81">
        <f t="shared" si="118"/>
        <v>13879423.84118</v>
      </c>
      <c r="K216" s="172" t="s">
        <v>60</v>
      </c>
      <c r="M216" s="196"/>
      <c r="N216" s="197"/>
      <c r="O216" s="197"/>
      <c r="P216" s="197"/>
      <c r="Q216" s="197"/>
      <c r="R216" s="197"/>
      <c r="S216" s="197"/>
      <c r="T216" s="464"/>
      <c r="U216" s="465"/>
      <c r="V216" s="465"/>
      <c r="W216" s="465"/>
      <c r="X216" s="465"/>
      <c r="Y216" s="465"/>
      <c r="Z216" s="465"/>
      <c r="AA216" s="465"/>
      <c r="AB216" s="465"/>
      <c r="AC216" s="465"/>
      <c r="AD216" s="465"/>
      <c r="AE216" s="465"/>
      <c r="AF216" s="465"/>
      <c r="AG216" s="465"/>
      <c r="AH216" s="465"/>
      <c r="AI216" s="465"/>
      <c r="AJ216" s="465"/>
      <c r="AK216" s="465"/>
      <c r="AL216" s="465"/>
      <c r="AM216" s="465"/>
      <c r="AN216" s="465"/>
      <c r="AO216" s="465"/>
      <c r="AP216" s="465"/>
      <c r="AQ216" s="466"/>
      <c r="AR216" s="464"/>
      <c r="AS216" s="465"/>
      <c r="AT216" s="465"/>
      <c r="AU216" s="465"/>
      <c r="AV216" s="465"/>
      <c r="AW216" s="465"/>
      <c r="AX216" s="465"/>
      <c r="AY216" s="465"/>
      <c r="AZ216" s="465"/>
      <c r="BA216" s="465"/>
      <c r="BB216" s="465"/>
      <c r="BC216" s="465"/>
      <c r="BD216" s="465"/>
      <c r="BE216" s="465"/>
      <c r="BF216" s="465"/>
      <c r="BG216" s="465"/>
      <c r="BH216" s="465"/>
      <c r="BI216" s="465"/>
      <c r="BJ216" s="465"/>
      <c r="BK216" s="465"/>
      <c r="BL216" s="465"/>
      <c r="BM216" s="465"/>
      <c r="BN216" s="465"/>
      <c r="BO216" s="466"/>
      <c r="BP216" s="464"/>
      <c r="BQ216" s="465"/>
      <c r="BR216" s="465"/>
      <c r="BS216" s="465"/>
      <c r="BT216" s="465"/>
      <c r="BU216" s="465"/>
      <c r="BV216" s="465"/>
      <c r="BW216" s="465"/>
      <c r="BX216" s="465"/>
      <c r="BY216" s="465"/>
      <c r="BZ216" s="465"/>
      <c r="CA216" s="465"/>
      <c r="CB216" s="465"/>
      <c r="CC216" s="465"/>
      <c r="CD216" s="465"/>
      <c r="CE216" s="465"/>
      <c r="CF216" s="465"/>
      <c r="CG216" s="465"/>
      <c r="CH216" s="465"/>
      <c r="CI216" s="465"/>
      <c r="CJ216" s="465"/>
      <c r="CK216" s="465"/>
      <c r="CL216" s="465"/>
      <c r="CM216" s="466"/>
      <c r="CN216" s="198"/>
      <c r="CO216" s="198"/>
      <c r="CP216" s="198"/>
      <c r="CQ216" s="98"/>
    </row>
    <row r="217" spans="1:105" s="67" customFormat="1" ht="30" customHeight="1">
      <c r="A217" s="416" t="s">
        <v>101</v>
      </c>
      <c r="B217" s="420">
        <v>2141</v>
      </c>
      <c r="C217" s="420">
        <v>119</v>
      </c>
      <c r="D217" s="420"/>
      <c r="E217" s="414">
        <f>E219</f>
        <v>8060671.7999999998</v>
      </c>
      <c r="F217" s="421">
        <f t="shared" ref="F217:I217" si="125">F219</f>
        <v>8358215.0999999996</v>
      </c>
      <c r="G217" s="414">
        <f t="shared" si="125"/>
        <v>12610704.880000001</v>
      </c>
      <c r="H217" s="414">
        <f t="shared" si="125"/>
        <v>13120187.143579999</v>
      </c>
      <c r="I217" s="414">
        <f t="shared" si="125"/>
        <v>13879423.84118</v>
      </c>
      <c r="J217" s="414">
        <f t="shared" si="118"/>
        <v>13879423.84118</v>
      </c>
      <c r="K217" s="414" t="s">
        <v>60</v>
      </c>
      <c r="M217" s="196"/>
      <c r="N217" s="197"/>
      <c r="O217" s="197"/>
      <c r="P217" s="197"/>
      <c r="Q217" s="197"/>
      <c r="R217" s="197"/>
      <c r="S217" s="197"/>
      <c r="T217" s="464"/>
      <c r="U217" s="465"/>
      <c r="V217" s="465"/>
      <c r="W217" s="465"/>
      <c r="X217" s="465"/>
      <c r="Y217" s="465"/>
      <c r="Z217" s="465"/>
      <c r="AA217" s="465"/>
      <c r="AB217" s="465"/>
      <c r="AC217" s="465"/>
      <c r="AD217" s="465"/>
      <c r="AE217" s="465"/>
      <c r="AF217" s="465"/>
      <c r="AG217" s="465"/>
      <c r="AH217" s="465"/>
      <c r="AI217" s="465"/>
      <c r="AJ217" s="465"/>
      <c r="AK217" s="465"/>
      <c r="AL217" s="465"/>
      <c r="AM217" s="465"/>
      <c r="AN217" s="465"/>
      <c r="AO217" s="465"/>
      <c r="AP217" s="465"/>
      <c r="AQ217" s="466"/>
      <c r="AR217" s="464"/>
      <c r="AS217" s="465"/>
      <c r="AT217" s="465"/>
      <c r="AU217" s="465"/>
      <c r="AV217" s="465"/>
      <c r="AW217" s="465"/>
      <c r="AX217" s="465"/>
      <c r="AY217" s="465"/>
      <c r="AZ217" s="465"/>
      <c r="BA217" s="465"/>
      <c r="BB217" s="465"/>
      <c r="BC217" s="465"/>
      <c r="BD217" s="465"/>
      <c r="BE217" s="465"/>
      <c r="BF217" s="465"/>
      <c r="BG217" s="465"/>
      <c r="BH217" s="465"/>
      <c r="BI217" s="465"/>
      <c r="BJ217" s="465"/>
      <c r="BK217" s="465"/>
      <c r="BL217" s="465"/>
      <c r="BM217" s="465"/>
      <c r="BN217" s="465"/>
      <c r="BO217" s="466"/>
      <c r="BP217" s="464"/>
      <c r="BQ217" s="465"/>
      <c r="BR217" s="465"/>
      <c r="BS217" s="465"/>
      <c r="BT217" s="465"/>
      <c r="BU217" s="465"/>
      <c r="BV217" s="465"/>
      <c r="BW217" s="465"/>
      <c r="BX217" s="465"/>
      <c r="BY217" s="465"/>
      <c r="BZ217" s="465"/>
      <c r="CA217" s="465"/>
      <c r="CB217" s="465"/>
      <c r="CC217" s="465"/>
      <c r="CD217" s="465"/>
      <c r="CE217" s="465"/>
      <c r="CF217" s="465"/>
      <c r="CG217" s="465"/>
      <c r="CH217" s="465"/>
      <c r="CI217" s="465"/>
      <c r="CJ217" s="465"/>
      <c r="CK217" s="465"/>
      <c r="CL217" s="465"/>
      <c r="CM217" s="466"/>
      <c r="CN217" s="198"/>
      <c r="CO217" s="198"/>
      <c r="CP217" s="198"/>
      <c r="CQ217" s="98"/>
    </row>
    <row r="218" spans="1:105" s="67" customFormat="1" ht="15.75" customHeight="1">
      <c r="A218" s="416"/>
      <c r="B218" s="420"/>
      <c r="C218" s="420"/>
      <c r="D218" s="420"/>
      <c r="E218" s="414"/>
      <c r="F218" s="421"/>
      <c r="G218" s="414"/>
      <c r="H218" s="414"/>
      <c r="I218" s="414"/>
      <c r="J218" s="414"/>
      <c r="K218" s="414"/>
      <c r="M218" s="196"/>
      <c r="N218" s="197"/>
      <c r="O218" s="197"/>
      <c r="P218" s="197"/>
      <c r="Q218" s="197"/>
      <c r="R218" s="197"/>
      <c r="S218" s="197"/>
      <c r="T218" s="464"/>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6"/>
      <c r="AR218" s="464"/>
      <c r="AS218" s="465"/>
      <c r="AT218" s="465"/>
      <c r="AU218" s="465"/>
      <c r="AV218" s="465"/>
      <c r="AW218" s="465"/>
      <c r="AX218" s="465"/>
      <c r="AY218" s="465"/>
      <c r="AZ218" s="465"/>
      <c r="BA218" s="465"/>
      <c r="BB218" s="465"/>
      <c r="BC218" s="465"/>
      <c r="BD218" s="465"/>
      <c r="BE218" s="465"/>
      <c r="BF218" s="465"/>
      <c r="BG218" s="465"/>
      <c r="BH218" s="465"/>
      <c r="BI218" s="465"/>
      <c r="BJ218" s="465"/>
      <c r="BK218" s="465"/>
      <c r="BL218" s="465"/>
      <c r="BM218" s="465"/>
      <c r="BN218" s="465"/>
      <c r="BO218" s="466"/>
      <c r="BP218" s="464"/>
      <c r="BQ218" s="465"/>
      <c r="BR218" s="465"/>
      <c r="BS218" s="465"/>
      <c r="BT218" s="465"/>
      <c r="BU218" s="465"/>
      <c r="BV218" s="465"/>
      <c r="BW218" s="465"/>
      <c r="BX218" s="465"/>
      <c r="BY218" s="465"/>
      <c r="BZ218" s="465"/>
      <c r="CA218" s="465"/>
      <c r="CB218" s="465"/>
      <c r="CC218" s="465"/>
      <c r="CD218" s="465"/>
      <c r="CE218" s="465"/>
      <c r="CF218" s="465"/>
      <c r="CG218" s="465"/>
      <c r="CH218" s="465"/>
      <c r="CI218" s="465"/>
      <c r="CJ218" s="465"/>
      <c r="CK218" s="465"/>
      <c r="CL218" s="465"/>
      <c r="CM218" s="466"/>
      <c r="CN218" s="198"/>
      <c r="CO218" s="198"/>
      <c r="CP218" s="198"/>
      <c r="CQ218" s="98"/>
    </row>
    <row r="219" spans="1:105" s="107" customFormat="1" ht="18" customHeight="1">
      <c r="A219" s="131" t="s">
        <v>191</v>
      </c>
      <c r="B219" s="104"/>
      <c r="C219" s="105" t="s">
        <v>178</v>
      </c>
      <c r="D219" s="104">
        <v>213</v>
      </c>
      <c r="E219" s="106">
        <v>8060671.7999999998</v>
      </c>
      <c r="F219" s="114">
        <v>8358215.0999999996</v>
      </c>
      <c r="G219" s="113">
        <v>12610704.880000001</v>
      </c>
      <c r="H219" s="114">
        <f>H211*30.2%</f>
        <v>13120187.143579999</v>
      </c>
      <c r="I219" s="114">
        <f>I211*30.2%</f>
        <v>13879423.84118</v>
      </c>
      <c r="J219" s="114">
        <f>I219</f>
        <v>13879423.84118</v>
      </c>
      <c r="K219" s="104" t="s">
        <v>3</v>
      </c>
      <c r="L219" s="110"/>
      <c r="M219" s="196"/>
      <c r="N219" s="197"/>
      <c r="O219" s="197"/>
      <c r="P219" s="197"/>
      <c r="Q219" s="197"/>
      <c r="R219" s="197"/>
      <c r="S219" s="197"/>
      <c r="T219" s="464"/>
      <c r="U219" s="465"/>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6"/>
      <c r="AR219" s="464"/>
      <c r="AS219" s="465"/>
      <c r="AT219" s="465"/>
      <c r="AU219" s="465"/>
      <c r="AV219" s="465"/>
      <c r="AW219" s="465"/>
      <c r="AX219" s="465"/>
      <c r="AY219" s="465"/>
      <c r="AZ219" s="465"/>
      <c r="BA219" s="465"/>
      <c r="BB219" s="465"/>
      <c r="BC219" s="465"/>
      <c r="BD219" s="465"/>
      <c r="BE219" s="465"/>
      <c r="BF219" s="465"/>
      <c r="BG219" s="465"/>
      <c r="BH219" s="465"/>
      <c r="BI219" s="465"/>
      <c r="BJ219" s="465"/>
      <c r="BK219" s="465"/>
      <c r="BL219" s="465"/>
      <c r="BM219" s="465"/>
      <c r="BN219" s="465"/>
      <c r="BO219" s="466"/>
      <c r="BP219" s="464"/>
      <c r="BQ219" s="465"/>
      <c r="BR219" s="465"/>
      <c r="BS219" s="465"/>
      <c r="BT219" s="465"/>
      <c r="BU219" s="465"/>
      <c r="BV219" s="465"/>
      <c r="BW219" s="465"/>
      <c r="BX219" s="465"/>
      <c r="BY219" s="465"/>
      <c r="BZ219" s="465"/>
      <c r="CA219" s="465"/>
      <c r="CB219" s="465"/>
      <c r="CC219" s="465"/>
      <c r="CD219" s="465"/>
      <c r="CE219" s="465"/>
      <c r="CF219" s="465"/>
      <c r="CG219" s="465"/>
      <c r="CH219" s="465"/>
      <c r="CI219" s="465"/>
      <c r="CJ219" s="465"/>
      <c r="CK219" s="465"/>
      <c r="CL219" s="465"/>
      <c r="CM219" s="466"/>
      <c r="CN219" s="198"/>
      <c r="CO219" s="198"/>
      <c r="CP219" s="198"/>
      <c r="CQ219" s="98"/>
    </row>
    <row r="220" spans="1:105" s="57" customFormat="1" ht="38.25" customHeight="1">
      <c r="A220" s="59" t="s">
        <v>231</v>
      </c>
      <c r="B220" s="79">
        <v>2600</v>
      </c>
      <c r="C220" s="79" t="s">
        <v>60</v>
      </c>
      <c r="D220" s="76"/>
      <c r="E220" s="81">
        <f>E222</f>
        <v>1368538.38</v>
      </c>
      <c r="F220" s="166">
        <f t="shared" ref="F220:J220" si="126">F222</f>
        <v>2971741.07</v>
      </c>
      <c r="G220" s="81">
        <f t="shared" si="126"/>
        <v>703763.39</v>
      </c>
      <c r="H220" s="81">
        <f t="shared" si="126"/>
        <v>464234.57</v>
      </c>
      <c r="I220" s="81">
        <f t="shared" si="126"/>
        <v>611469.07000000007</v>
      </c>
      <c r="J220" s="81">
        <f t="shared" si="126"/>
        <v>611469.07000000007</v>
      </c>
      <c r="K220" s="172">
        <f t="shared" ref="K220" si="127">K222</f>
        <v>611469.07000000007</v>
      </c>
      <c r="M220" s="196"/>
      <c r="N220" s="197"/>
      <c r="O220" s="197"/>
      <c r="P220" s="197"/>
      <c r="Q220" s="197"/>
      <c r="R220" s="197"/>
      <c r="S220" s="197"/>
      <c r="T220" s="464"/>
      <c r="U220" s="465"/>
      <c r="V220" s="465"/>
      <c r="W220" s="465"/>
      <c r="X220" s="465"/>
      <c r="Y220" s="465"/>
      <c r="Z220" s="465"/>
      <c r="AA220" s="465"/>
      <c r="AB220" s="465"/>
      <c r="AC220" s="465"/>
      <c r="AD220" s="465"/>
      <c r="AE220" s="465"/>
      <c r="AF220" s="465"/>
      <c r="AG220" s="465"/>
      <c r="AH220" s="465"/>
      <c r="AI220" s="465"/>
      <c r="AJ220" s="465"/>
      <c r="AK220" s="465"/>
      <c r="AL220" s="465"/>
      <c r="AM220" s="465"/>
      <c r="AN220" s="465"/>
      <c r="AO220" s="465"/>
      <c r="AP220" s="465"/>
      <c r="AQ220" s="466"/>
      <c r="AR220" s="464"/>
      <c r="AS220" s="465"/>
      <c r="AT220" s="465"/>
      <c r="AU220" s="465"/>
      <c r="AV220" s="465"/>
      <c r="AW220" s="465"/>
      <c r="AX220" s="465"/>
      <c r="AY220" s="465"/>
      <c r="AZ220" s="465"/>
      <c r="BA220" s="465"/>
      <c r="BB220" s="465"/>
      <c r="BC220" s="465"/>
      <c r="BD220" s="465"/>
      <c r="BE220" s="465"/>
      <c r="BF220" s="465"/>
      <c r="BG220" s="465"/>
      <c r="BH220" s="465"/>
      <c r="BI220" s="465"/>
      <c r="BJ220" s="465"/>
      <c r="BK220" s="465"/>
      <c r="BL220" s="465"/>
      <c r="BM220" s="465"/>
      <c r="BN220" s="465"/>
      <c r="BO220" s="466"/>
      <c r="BP220" s="464"/>
      <c r="BQ220" s="465"/>
      <c r="BR220" s="465"/>
      <c r="BS220" s="465"/>
      <c r="BT220" s="465"/>
      <c r="BU220" s="465"/>
      <c r="BV220" s="465"/>
      <c r="BW220" s="465"/>
      <c r="BX220" s="465"/>
      <c r="BY220" s="465"/>
      <c r="BZ220" s="465"/>
      <c r="CA220" s="465"/>
      <c r="CB220" s="465"/>
      <c r="CC220" s="465"/>
      <c r="CD220" s="465"/>
      <c r="CE220" s="465"/>
      <c r="CF220" s="465"/>
      <c r="CG220" s="465"/>
      <c r="CH220" s="465"/>
      <c r="CI220" s="465"/>
      <c r="CJ220" s="465"/>
      <c r="CK220" s="465"/>
      <c r="CL220" s="465"/>
      <c r="CM220" s="466"/>
      <c r="CN220" s="198"/>
      <c r="CO220" s="198"/>
      <c r="CP220" s="198"/>
      <c r="CQ220" s="98"/>
    </row>
    <row r="221" spans="1:105" s="67" customFormat="1" ht="30" customHeight="1">
      <c r="A221" s="77" t="s">
        <v>65</v>
      </c>
      <c r="B221" s="76"/>
      <c r="C221" s="76"/>
      <c r="D221" s="76"/>
      <c r="E221" s="82"/>
      <c r="F221" s="163"/>
      <c r="G221" s="82"/>
      <c r="H221" s="82"/>
      <c r="I221" s="82"/>
      <c r="J221" s="78"/>
      <c r="K221" s="177"/>
      <c r="M221" s="196"/>
      <c r="N221" s="197"/>
      <c r="O221" s="197"/>
      <c r="P221" s="197"/>
      <c r="Q221" s="197"/>
      <c r="R221" s="197"/>
      <c r="S221" s="197"/>
      <c r="T221" s="464"/>
      <c r="U221" s="465"/>
      <c r="V221" s="465"/>
      <c r="W221" s="465"/>
      <c r="X221" s="465"/>
      <c r="Y221" s="465"/>
      <c r="Z221" s="465"/>
      <c r="AA221" s="465"/>
      <c r="AB221" s="465"/>
      <c r="AC221" s="465"/>
      <c r="AD221" s="465"/>
      <c r="AE221" s="465"/>
      <c r="AF221" s="465"/>
      <c r="AG221" s="465"/>
      <c r="AH221" s="465"/>
      <c r="AI221" s="465"/>
      <c r="AJ221" s="465"/>
      <c r="AK221" s="465"/>
      <c r="AL221" s="465"/>
      <c r="AM221" s="465"/>
      <c r="AN221" s="465"/>
      <c r="AO221" s="465"/>
      <c r="AP221" s="465"/>
      <c r="AQ221" s="466"/>
      <c r="AR221" s="464"/>
      <c r="AS221" s="465"/>
      <c r="AT221" s="465"/>
      <c r="AU221" s="465"/>
      <c r="AV221" s="465"/>
      <c r="AW221" s="465"/>
      <c r="AX221" s="465"/>
      <c r="AY221" s="465"/>
      <c r="AZ221" s="465"/>
      <c r="BA221" s="465"/>
      <c r="BB221" s="465"/>
      <c r="BC221" s="465"/>
      <c r="BD221" s="465"/>
      <c r="BE221" s="465"/>
      <c r="BF221" s="465"/>
      <c r="BG221" s="465"/>
      <c r="BH221" s="465"/>
      <c r="BI221" s="465"/>
      <c r="BJ221" s="465"/>
      <c r="BK221" s="465"/>
      <c r="BL221" s="465"/>
      <c r="BM221" s="465"/>
      <c r="BN221" s="465"/>
      <c r="BO221" s="466"/>
      <c r="BP221" s="464"/>
      <c r="BQ221" s="465"/>
      <c r="BR221" s="465"/>
      <c r="BS221" s="465"/>
      <c r="BT221" s="465"/>
      <c r="BU221" s="465"/>
      <c r="BV221" s="465"/>
      <c r="BW221" s="465"/>
      <c r="BX221" s="465"/>
      <c r="BY221" s="465"/>
      <c r="BZ221" s="465"/>
      <c r="CA221" s="465"/>
      <c r="CB221" s="465"/>
      <c r="CC221" s="465"/>
      <c r="CD221" s="465"/>
      <c r="CE221" s="465"/>
      <c r="CF221" s="465"/>
      <c r="CG221" s="465"/>
      <c r="CH221" s="465"/>
      <c r="CI221" s="465"/>
      <c r="CJ221" s="465"/>
      <c r="CK221" s="465"/>
      <c r="CL221" s="465"/>
      <c r="CM221" s="466"/>
      <c r="CN221" s="198"/>
      <c r="CO221" s="198"/>
      <c r="CP221" s="198"/>
      <c r="CQ221" s="98"/>
    </row>
    <row r="222" spans="1:105" s="57" customFormat="1" ht="32.25" customHeight="1">
      <c r="A222" s="116" t="s">
        <v>259</v>
      </c>
      <c r="B222" s="93">
        <v>2640</v>
      </c>
      <c r="C222" s="93">
        <v>244</v>
      </c>
      <c r="D222" s="93"/>
      <c r="E222" s="94">
        <f t="shared" ref="E222:J222" si="128">SUM(E224:E227)</f>
        <v>1368538.38</v>
      </c>
      <c r="F222" s="166">
        <f t="shared" si="128"/>
        <v>2971741.07</v>
      </c>
      <c r="G222" s="94">
        <f>SUM(G223:G227)</f>
        <v>703763.39</v>
      </c>
      <c r="H222" s="94">
        <f t="shared" si="128"/>
        <v>464234.57</v>
      </c>
      <c r="I222" s="94">
        <f t="shared" si="128"/>
        <v>611469.07000000007</v>
      </c>
      <c r="J222" s="94">
        <f t="shared" si="128"/>
        <v>611469.07000000007</v>
      </c>
      <c r="K222" s="176">
        <f t="shared" ref="K222" si="129">SUM(K224:K227)</f>
        <v>611469.07000000007</v>
      </c>
      <c r="L222" s="111"/>
      <c r="M222" s="196"/>
      <c r="N222" s="197"/>
      <c r="O222" s="197"/>
      <c r="P222" s="197"/>
      <c r="Q222" s="197"/>
      <c r="R222" s="197"/>
      <c r="S222" s="197"/>
      <c r="T222" s="464"/>
      <c r="U222" s="465"/>
      <c r="V222" s="465"/>
      <c r="W222" s="465"/>
      <c r="X222" s="465"/>
      <c r="Y222" s="465"/>
      <c r="Z222" s="465"/>
      <c r="AA222" s="465"/>
      <c r="AB222" s="465"/>
      <c r="AC222" s="465"/>
      <c r="AD222" s="465"/>
      <c r="AE222" s="465"/>
      <c r="AF222" s="465"/>
      <c r="AG222" s="465"/>
      <c r="AH222" s="465"/>
      <c r="AI222" s="465"/>
      <c r="AJ222" s="465"/>
      <c r="AK222" s="465"/>
      <c r="AL222" s="465"/>
      <c r="AM222" s="465"/>
      <c r="AN222" s="465"/>
      <c r="AO222" s="465"/>
      <c r="AP222" s="465"/>
      <c r="AQ222" s="466"/>
      <c r="AR222" s="464"/>
      <c r="AS222" s="465"/>
      <c r="AT222" s="465"/>
      <c r="AU222" s="465"/>
      <c r="AV222" s="465"/>
      <c r="AW222" s="465"/>
      <c r="AX222" s="465"/>
      <c r="AY222" s="465"/>
      <c r="AZ222" s="465"/>
      <c r="BA222" s="465"/>
      <c r="BB222" s="465"/>
      <c r="BC222" s="465"/>
      <c r="BD222" s="465"/>
      <c r="BE222" s="465"/>
      <c r="BF222" s="465"/>
      <c r="BG222" s="465"/>
      <c r="BH222" s="465"/>
      <c r="BI222" s="465"/>
      <c r="BJ222" s="465"/>
      <c r="BK222" s="465"/>
      <c r="BL222" s="465"/>
      <c r="BM222" s="465"/>
      <c r="BN222" s="465"/>
      <c r="BO222" s="466"/>
      <c r="BP222" s="464"/>
      <c r="BQ222" s="465"/>
      <c r="BR222" s="465"/>
      <c r="BS222" s="465"/>
      <c r="BT222" s="465"/>
      <c r="BU222" s="465"/>
      <c r="BV222" s="465"/>
      <c r="BW222" s="465"/>
      <c r="BX222" s="465"/>
      <c r="BY222" s="465"/>
      <c r="BZ222" s="465"/>
      <c r="CA222" s="465"/>
      <c r="CB222" s="465"/>
      <c r="CC222" s="465"/>
      <c r="CD222" s="465"/>
      <c r="CE222" s="465"/>
      <c r="CF222" s="465"/>
      <c r="CG222" s="465"/>
      <c r="CH222" s="465"/>
      <c r="CI222" s="465"/>
      <c r="CJ222" s="465"/>
      <c r="CK222" s="465"/>
      <c r="CL222" s="465"/>
      <c r="CM222" s="466"/>
      <c r="CN222" s="198"/>
      <c r="CO222" s="198"/>
      <c r="CP222" s="198"/>
      <c r="CQ222" s="98"/>
    </row>
    <row r="223" spans="1:105" s="57" customFormat="1" ht="32.25" customHeight="1">
      <c r="A223" s="132" t="s">
        <v>199</v>
      </c>
      <c r="B223" s="104"/>
      <c r="C223" s="105" t="s">
        <v>178</v>
      </c>
      <c r="D223" s="104">
        <v>225</v>
      </c>
      <c r="E223" s="106">
        <f>366956.34-E213</f>
        <v>254411.34000000003</v>
      </c>
      <c r="F223" s="114">
        <v>226450</v>
      </c>
      <c r="G223" s="113">
        <v>0</v>
      </c>
      <c r="H223" s="114">
        <v>0</v>
      </c>
      <c r="I223" s="114">
        <v>0</v>
      </c>
      <c r="J223" s="114">
        <f t="shared" ref="J223" si="130">I223</f>
        <v>0</v>
      </c>
      <c r="K223" s="114">
        <f t="shared" ref="K223" si="131">J223</f>
        <v>0</v>
      </c>
      <c r="L223" s="111"/>
      <c r="M223" s="196"/>
      <c r="N223" s="197"/>
      <c r="O223" s="197"/>
      <c r="P223" s="197"/>
      <c r="Q223" s="197"/>
      <c r="R223" s="197"/>
      <c r="S223" s="197"/>
      <c r="T223" s="464"/>
      <c r="U223" s="465"/>
      <c r="V223" s="465"/>
      <c r="W223" s="465"/>
      <c r="X223" s="465"/>
      <c r="Y223" s="465"/>
      <c r="Z223" s="465"/>
      <c r="AA223" s="465"/>
      <c r="AB223" s="465"/>
      <c r="AC223" s="465"/>
      <c r="AD223" s="465"/>
      <c r="AE223" s="465"/>
      <c r="AF223" s="465"/>
      <c r="AG223" s="465"/>
      <c r="AH223" s="465"/>
      <c r="AI223" s="465"/>
      <c r="AJ223" s="465"/>
      <c r="AK223" s="465"/>
      <c r="AL223" s="465"/>
      <c r="AM223" s="465"/>
      <c r="AN223" s="465"/>
      <c r="AO223" s="465"/>
      <c r="AP223" s="465"/>
      <c r="AQ223" s="466"/>
      <c r="AR223" s="464"/>
      <c r="AS223" s="465"/>
      <c r="AT223" s="465"/>
      <c r="AU223" s="465"/>
      <c r="AV223" s="465"/>
      <c r="AW223" s="465"/>
      <c r="AX223" s="465"/>
      <c r="AY223" s="465"/>
      <c r="AZ223" s="465"/>
      <c r="BA223" s="465"/>
      <c r="BB223" s="465"/>
      <c r="BC223" s="465"/>
      <c r="BD223" s="465"/>
      <c r="BE223" s="465"/>
      <c r="BF223" s="465"/>
      <c r="BG223" s="465"/>
      <c r="BH223" s="465"/>
      <c r="BI223" s="465"/>
      <c r="BJ223" s="465"/>
      <c r="BK223" s="465"/>
      <c r="BL223" s="465"/>
      <c r="BM223" s="465"/>
      <c r="BN223" s="465"/>
      <c r="BO223" s="466"/>
      <c r="BP223" s="464"/>
      <c r="BQ223" s="465"/>
      <c r="BR223" s="465"/>
      <c r="BS223" s="465"/>
      <c r="BT223" s="465"/>
      <c r="BU223" s="465"/>
      <c r="BV223" s="465"/>
      <c r="BW223" s="465"/>
      <c r="BX223" s="465"/>
      <c r="BY223" s="465"/>
      <c r="BZ223" s="465"/>
      <c r="CA223" s="465"/>
      <c r="CB223" s="465"/>
      <c r="CC223" s="465"/>
      <c r="CD223" s="465"/>
      <c r="CE223" s="465"/>
      <c r="CF223" s="465"/>
      <c r="CG223" s="465"/>
      <c r="CH223" s="465"/>
      <c r="CI223" s="465"/>
      <c r="CJ223" s="465"/>
      <c r="CK223" s="465"/>
      <c r="CL223" s="465"/>
      <c r="CM223" s="466"/>
      <c r="CN223" s="198"/>
      <c r="CO223" s="198"/>
      <c r="CP223" s="198"/>
      <c r="CQ223" s="98"/>
    </row>
    <row r="224" spans="1:105" s="107" customFormat="1" ht="18" customHeight="1">
      <c r="A224" s="132" t="s">
        <v>193</v>
      </c>
      <c r="B224" s="104"/>
      <c r="C224" s="105" t="s">
        <v>178</v>
      </c>
      <c r="D224" s="104">
        <v>226</v>
      </c>
      <c r="E224" s="106">
        <f>366956.34-E215</f>
        <v>254411.34000000003</v>
      </c>
      <c r="F224" s="114">
        <v>226450</v>
      </c>
      <c r="G224" s="113">
        <f>260667.2</f>
        <v>260667.2</v>
      </c>
      <c r="H224" s="114">
        <v>250000</v>
      </c>
      <c r="I224" s="114">
        <f t="shared" ref="I224" si="132">H224</f>
        <v>250000</v>
      </c>
      <c r="J224" s="114">
        <f t="shared" ref="J224:K228" si="133">I224</f>
        <v>250000</v>
      </c>
      <c r="K224" s="114">
        <f t="shared" si="133"/>
        <v>250000</v>
      </c>
      <c r="L224" s="110"/>
      <c r="M224" s="196"/>
      <c r="N224" s="197"/>
      <c r="O224" s="197"/>
      <c r="P224" s="197"/>
      <c r="Q224" s="197"/>
      <c r="R224" s="197"/>
      <c r="S224" s="197"/>
      <c r="T224" s="464"/>
      <c r="U224" s="465"/>
      <c r="V224" s="465"/>
      <c r="W224" s="465"/>
      <c r="X224" s="465"/>
      <c r="Y224" s="465"/>
      <c r="Z224" s="465"/>
      <c r="AA224" s="465"/>
      <c r="AB224" s="465"/>
      <c r="AC224" s="465"/>
      <c r="AD224" s="465"/>
      <c r="AE224" s="465"/>
      <c r="AF224" s="465"/>
      <c r="AG224" s="465"/>
      <c r="AH224" s="465"/>
      <c r="AI224" s="465"/>
      <c r="AJ224" s="465"/>
      <c r="AK224" s="465"/>
      <c r="AL224" s="465"/>
      <c r="AM224" s="465"/>
      <c r="AN224" s="465"/>
      <c r="AO224" s="465"/>
      <c r="AP224" s="465"/>
      <c r="AQ224" s="466"/>
      <c r="AR224" s="464"/>
      <c r="AS224" s="465"/>
      <c r="AT224" s="465"/>
      <c r="AU224" s="465"/>
      <c r="AV224" s="465"/>
      <c r="AW224" s="465"/>
      <c r="AX224" s="465"/>
      <c r="AY224" s="465"/>
      <c r="AZ224" s="465"/>
      <c r="BA224" s="465"/>
      <c r="BB224" s="465"/>
      <c r="BC224" s="465"/>
      <c r="BD224" s="465"/>
      <c r="BE224" s="465"/>
      <c r="BF224" s="465"/>
      <c r="BG224" s="465"/>
      <c r="BH224" s="465"/>
      <c r="BI224" s="465"/>
      <c r="BJ224" s="465"/>
      <c r="BK224" s="465"/>
      <c r="BL224" s="465"/>
      <c r="BM224" s="465"/>
      <c r="BN224" s="465"/>
      <c r="BO224" s="466"/>
      <c r="BP224" s="464"/>
      <c r="BQ224" s="465"/>
      <c r="BR224" s="465"/>
      <c r="BS224" s="465"/>
      <c r="BT224" s="465"/>
      <c r="BU224" s="465"/>
      <c r="BV224" s="465"/>
      <c r="BW224" s="465"/>
      <c r="BX224" s="465"/>
      <c r="BY224" s="465"/>
      <c r="BZ224" s="465"/>
      <c r="CA224" s="465"/>
      <c r="CB224" s="465"/>
      <c r="CC224" s="465"/>
      <c r="CD224" s="465"/>
      <c r="CE224" s="465"/>
      <c r="CF224" s="465"/>
      <c r="CG224" s="465"/>
      <c r="CH224" s="465"/>
      <c r="CI224" s="465"/>
      <c r="CJ224" s="465"/>
      <c r="CK224" s="465"/>
      <c r="CL224" s="465"/>
      <c r="CM224" s="466"/>
      <c r="CN224" s="198"/>
      <c r="CO224" s="198"/>
      <c r="CP224" s="198"/>
      <c r="CQ224" s="98"/>
    </row>
    <row r="225" spans="1:95" s="107" customFormat="1" ht="18" customHeight="1">
      <c r="A225" s="132" t="s">
        <v>200</v>
      </c>
      <c r="B225" s="104"/>
      <c r="C225" s="105" t="s">
        <v>178</v>
      </c>
      <c r="D225" s="104">
        <v>310</v>
      </c>
      <c r="E225" s="114">
        <v>285617.03999999998</v>
      </c>
      <c r="F225" s="114">
        <v>1000000</v>
      </c>
      <c r="G225" s="113">
        <v>0</v>
      </c>
      <c r="H225" s="114">
        <v>0</v>
      </c>
      <c r="I225" s="114">
        <v>0</v>
      </c>
      <c r="J225" s="114">
        <v>0</v>
      </c>
      <c r="K225" s="114">
        <v>0</v>
      </c>
      <c r="L225" s="110"/>
      <c r="M225" s="196"/>
      <c r="N225" s="197"/>
      <c r="O225" s="197"/>
      <c r="P225" s="197"/>
      <c r="Q225" s="197"/>
      <c r="R225" s="197"/>
      <c r="S225" s="197"/>
      <c r="T225" s="464"/>
      <c r="U225" s="465"/>
      <c r="V225" s="465"/>
      <c r="W225" s="465"/>
      <c r="X225" s="465"/>
      <c r="Y225" s="465"/>
      <c r="Z225" s="465"/>
      <c r="AA225" s="465"/>
      <c r="AB225" s="465"/>
      <c r="AC225" s="465"/>
      <c r="AD225" s="465"/>
      <c r="AE225" s="465"/>
      <c r="AF225" s="465"/>
      <c r="AG225" s="465"/>
      <c r="AH225" s="465"/>
      <c r="AI225" s="465"/>
      <c r="AJ225" s="465"/>
      <c r="AK225" s="465"/>
      <c r="AL225" s="465"/>
      <c r="AM225" s="465"/>
      <c r="AN225" s="465"/>
      <c r="AO225" s="465"/>
      <c r="AP225" s="465"/>
      <c r="AQ225" s="466"/>
      <c r="AR225" s="464"/>
      <c r="AS225" s="465"/>
      <c r="AT225" s="465"/>
      <c r="AU225" s="465"/>
      <c r="AV225" s="465"/>
      <c r="AW225" s="465"/>
      <c r="AX225" s="465"/>
      <c r="AY225" s="465"/>
      <c r="AZ225" s="465"/>
      <c r="BA225" s="465"/>
      <c r="BB225" s="465"/>
      <c r="BC225" s="465"/>
      <c r="BD225" s="465"/>
      <c r="BE225" s="465"/>
      <c r="BF225" s="465"/>
      <c r="BG225" s="465"/>
      <c r="BH225" s="465"/>
      <c r="BI225" s="465"/>
      <c r="BJ225" s="465"/>
      <c r="BK225" s="465"/>
      <c r="BL225" s="465"/>
      <c r="BM225" s="465"/>
      <c r="BN225" s="465"/>
      <c r="BO225" s="466"/>
      <c r="BP225" s="464"/>
      <c r="BQ225" s="465"/>
      <c r="BR225" s="465"/>
      <c r="BS225" s="465"/>
      <c r="BT225" s="465"/>
      <c r="BU225" s="465"/>
      <c r="BV225" s="465"/>
      <c r="BW225" s="465"/>
      <c r="BX225" s="465"/>
      <c r="BY225" s="465"/>
      <c r="BZ225" s="465"/>
      <c r="CA225" s="465"/>
      <c r="CB225" s="465"/>
      <c r="CC225" s="465"/>
      <c r="CD225" s="465"/>
      <c r="CE225" s="465"/>
      <c r="CF225" s="465"/>
      <c r="CG225" s="465"/>
      <c r="CH225" s="465"/>
      <c r="CI225" s="465"/>
      <c r="CJ225" s="465"/>
      <c r="CK225" s="465"/>
      <c r="CL225" s="465"/>
      <c r="CM225" s="466"/>
      <c r="CN225" s="198"/>
      <c r="CO225" s="198"/>
      <c r="CP225" s="198"/>
      <c r="CQ225" s="98"/>
    </row>
    <row r="226" spans="1:95" s="107" customFormat="1" ht="32.1" customHeight="1">
      <c r="A226" s="132" t="s">
        <v>204</v>
      </c>
      <c r="B226" s="104"/>
      <c r="C226" s="105" t="s">
        <v>178</v>
      </c>
      <c r="D226" s="104">
        <v>345</v>
      </c>
      <c r="E226" s="114">
        <v>285617.03999999998</v>
      </c>
      <c r="F226" s="114">
        <v>1000000</v>
      </c>
      <c r="G226" s="113">
        <v>0</v>
      </c>
      <c r="H226" s="114">
        <v>0</v>
      </c>
      <c r="I226" s="114">
        <v>0</v>
      </c>
      <c r="J226" s="114">
        <v>0</v>
      </c>
      <c r="K226" s="114">
        <v>0</v>
      </c>
      <c r="L226" s="110"/>
      <c r="M226" s="196"/>
      <c r="N226" s="197"/>
      <c r="O226" s="197"/>
      <c r="P226" s="197"/>
      <c r="Q226" s="197"/>
      <c r="R226" s="197"/>
      <c r="S226" s="197"/>
      <c r="T226" s="261"/>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3"/>
      <c r="AR226" s="261"/>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3"/>
      <c r="BP226" s="261"/>
      <c r="BQ226" s="262"/>
      <c r="BR226" s="262"/>
      <c r="BS226" s="262"/>
      <c r="BT226" s="262"/>
      <c r="BU226" s="262"/>
      <c r="BV226" s="262"/>
      <c r="BW226" s="262"/>
      <c r="BX226" s="262"/>
      <c r="BY226" s="262"/>
      <c r="BZ226" s="262"/>
      <c r="CA226" s="262"/>
      <c r="CB226" s="262"/>
      <c r="CC226" s="262"/>
      <c r="CD226" s="262"/>
      <c r="CE226" s="262"/>
      <c r="CF226" s="262"/>
      <c r="CG226" s="262"/>
      <c r="CH226" s="262"/>
      <c r="CI226" s="262"/>
      <c r="CJ226" s="262"/>
      <c r="CK226" s="262"/>
      <c r="CL226" s="262"/>
      <c r="CM226" s="263"/>
      <c r="CN226" s="198"/>
      <c r="CO226" s="198"/>
      <c r="CP226" s="198"/>
      <c r="CQ226" s="98"/>
    </row>
    <row r="227" spans="1:95" s="107" customFormat="1" ht="32.1" customHeight="1">
      <c r="A227" s="132" t="s">
        <v>205</v>
      </c>
      <c r="B227" s="104"/>
      <c r="C227" s="105" t="s">
        <v>178</v>
      </c>
      <c r="D227" s="104">
        <v>346</v>
      </c>
      <c r="E227" s="106">
        <v>542892.96</v>
      </c>
      <c r="F227" s="114">
        <v>745291.07</v>
      </c>
      <c r="G227" s="113">
        <v>443096.19</v>
      </c>
      <c r="H227" s="114">
        <f>152000+62234.57</f>
        <v>214234.57</v>
      </c>
      <c r="I227" s="114">
        <f>H227+147234.5</f>
        <v>361469.07</v>
      </c>
      <c r="J227" s="114">
        <f t="shared" si="133"/>
        <v>361469.07</v>
      </c>
      <c r="K227" s="114">
        <f t="shared" si="133"/>
        <v>361469.07</v>
      </c>
      <c r="L227" s="110"/>
      <c r="M227" s="196"/>
      <c r="N227" s="197"/>
      <c r="O227" s="197"/>
      <c r="P227" s="197"/>
      <c r="Q227" s="197"/>
      <c r="R227" s="197"/>
      <c r="S227" s="197"/>
      <c r="T227" s="464"/>
      <c r="U227" s="465"/>
      <c r="V227" s="465"/>
      <c r="W227" s="465"/>
      <c r="X227" s="465"/>
      <c r="Y227" s="465"/>
      <c r="Z227" s="465"/>
      <c r="AA227" s="465"/>
      <c r="AB227" s="465"/>
      <c r="AC227" s="465"/>
      <c r="AD227" s="465"/>
      <c r="AE227" s="465"/>
      <c r="AF227" s="465"/>
      <c r="AG227" s="465"/>
      <c r="AH227" s="465"/>
      <c r="AI227" s="465"/>
      <c r="AJ227" s="465"/>
      <c r="AK227" s="465"/>
      <c r="AL227" s="465"/>
      <c r="AM227" s="465"/>
      <c r="AN227" s="465"/>
      <c r="AO227" s="465"/>
      <c r="AP227" s="465"/>
      <c r="AQ227" s="466"/>
      <c r="AR227" s="464"/>
      <c r="AS227" s="465"/>
      <c r="AT227" s="465"/>
      <c r="AU227" s="465"/>
      <c r="AV227" s="465"/>
      <c r="AW227" s="465"/>
      <c r="AX227" s="465"/>
      <c r="AY227" s="465"/>
      <c r="AZ227" s="465"/>
      <c r="BA227" s="465"/>
      <c r="BB227" s="465"/>
      <c r="BC227" s="465"/>
      <c r="BD227" s="465"/>
      <c r="BE227" s="465"/>
      <c r="BF227" s="465"/>
      <c r="BG227" s="465"/>
      <c r="BH227" s="465"/>
      <c r="BI227" s="465"/>
      <c r="BJ227" s="465"/>
      <c r="BK227" s="465"/>
      <c r="BL227" s="465"/>
      <c r="BM227" s="465"/>
      <c r="BN227" s="465"/>
      <c r="BO227" s="466"/>
      <c r="BP227" s="464"/>
      <c r="BQ227" s="465"/>
      <c r="BR227" s="465"/>
      <c r="BS227" s="465"/>
      <c r="BT227" s="465"/>
      <c r="BU227" s="465"/>
      <c r="BV227" s="465"/>
      <c r="BW227" s="465"/>
      <c r="BX227" s="465"/>
      <c r="BY227" s="465"/>
      <c r="BZ227" s="465"/>
      <c r="CA227" s="465"/>
      <c r="CB227" s="465"/>
      <c r="CC227" s="465"/>
      <c r="CD227" s="465"/>
      <c r="CE227" s="465"/>
      <c r="CF227" s="465"/>
      <c r="CG227" s="465"/>
      <c r="CH227" s="465"/>
      <c r="CI227" s="465"/>
      <c r="CJ227" s="465"/>
      <c r="CK227" s="465"/>
      <c r="CL227" s="465"/>
      <c r="CM227" s="466"/>
      <c r="CN227" s="198"/>
      <c r="CO227" s="198"/>
      <c r="CP227" s="198"/>
      <c r="CQ227" s="98"/>
    </row>
    <row r="228" spans="1:95" s="516" customFormat="1" ht="30" customHeight="1">
      <c r="A228" s="505" t="s">
        <v>61</v>
      </c>
      <c r="B228" s="517" t="s">
        <v>225</v>
      </c>
      <c r="C228" s="518"/>
      <c r="D228" s="519"/>
      <c r="E228" s="507">
        <f>E229</f>
        <v>2098982.04</v>
      </c>
      <c r="F228" s="507">
        <f t="shared" ref="F228" si="134">F229</f>
        <v>786952.89999999991</v>
      </c>
      <c r="G228" s="507">
        <f t="shared" ref="G228" si="135">G229</f>
        <v>2797819.87</v>
      </c>
      <c r="H228" s="507">
        <f t="shared" ref="H228" si="136">H229</f>
        <v>5705080.790000001</v>
      </c>
      <c r="I228" s="507">
        <f t="shared" ref="I228" si="137">I229</f>
        <v>6618106.79</v>
      </c>
      <c r="J228" s="507">
        <f t="shared" si="133"/>
        <v>6618106.79</v>
      </c>
      <c r="K228" s="507">
        <f t="shared" si="133"/>
        <v>6618106.79</v>
      </c>
      <c r="L228" s="508"/>
      <c r="M228" s="509"/>
      <c r="N228" s="510"/>
      <c r="O228" s="510"/>
      <c r="P228" s="510"/>
      <c r="Q228" s="510"/>
      <c r="R228" s="510"/>
      <c r="S228" s="510"/>
      <c r="T228" s="511"/>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3"/>
      <c r="AR228" s="511"/>
      <c r="AS228" s="512"/>
      <c r="AT228" s="512"/>
      <c r="AU228" s="512"/>
      <c r="AV228" s="512"/>
      <c r="AW228" s="512"/>
      <c r="AX228" s="512"/>
      <c r="AY228" s="512"/>
      <c r="AZ228" s="512"/>
      <c r="BA228" s="512"/>
      <c r="BB228" s="512"/>
      <c r="BC228" s="512"/>
      <c r="BD228" s="512"/>
      <c r="BE228" s="512"/>
      <c r="BF228" s="512"/>
      <c r="BG228" s="512"/>
      <c r="BH228" s="512"/>
      <c r="BI228" s="512"/>
      <c r="BJ228" s="512"/>
      <c r="BK228" s="512"/>
      <c r="BL228" s="512"/>
      <c r="BM228" s="512"/>
      <c r="BN228" s="512"/>
      <c r="BO228" s="513"/>
      <c r="BP228" s="511"/>
      <c r="BQ228" s="512"/>
      <c r="BR228" s="512"/>
      <c r="BS228" s="512"/>
      <c r="BT228" s="512"/>
      <c r="BU228" s="512"/>
      <c r="BV228" s="512"/>
      <c r="BW228" s="512"/>
      <c r="BX228" s="512"/>
      <c r="BY228" s="512"/>
      <c r="BZ228" s="512"/>
      <c r="CA228" s="512"/>
      <c r="CB228" s="512"/>
      <c r="CC228" s="512"/>
      <c r="CD228" s="512"/>
      <c r="CE228" s="512"/>
      <c r="CF228" s="512"/>
      <c r="CG228" s="512"/>
      <c r="CH228" s="512"/>
      <c r="CI228" s="512"/>
      <c r="CJ228" s="512"/>
      <c r="CK228" s="512"/>
      <c r="CL228" s="512"/>
      <c r="CM228" s="513"/>
      <c r="CN228" s="514"/>
      <c r="CO228" s="514"/>
      <c r="CP228" s="514"/>
      <c r="CQ228" s="515"/>
    </row>
    <row r="229" spans="1:95" s="57" customFormat="1" ht="26.25" customHeight="1">
      <c r="A229" s="422" t="s">
        <v>99</v>
      </c>
      <c r="B229" s="423">
        <v>2100</v>
      </c>
      <c r="C229" s="423" t="s">
        <v>60</v>
      </c>
      <c r="D229" s="420"/>
      <c r="E229" s="412">
        <f>E231+E235</f>
        <v>2098982.04</v>
      </c>
      <c r="F229" s="413">
        <f t="shared" ref="F229:I229" si="138">F231+F235</f>
        <v>786952.89999999991</v>
      </c>
      <c r="G229" s="412">
        <f t="shared" si="138"/>
        <v>2797819.87</v>
      </c>
      <c r="H229" s="412">
        <f t="shared" si="138"/>
        <v>5705080.790000001</v>
      </c>
      <c r="I229" s="412">
        <f t="shared" si="138"/>
        <v>6618106.79</v>
      </c>
      <c r="J229" s="412">
        <f>I229</f>
        <v>6618106.79</v>
      </c>
      <c r="K229" s="412" t="s">
        <v>60</v>
      </c>
      <c r="M229" s="196"/>
      <c r="N229" s="197"/>
      <c r="O229" s="197"/>
      <c r="P229" s="197"/>
      <c r="Q229" s="197"/>
      <c r="R229" s="197"/>
      <c r="S229" s="197"/>
      <c r="T229" s="464"/>
      <c r="U229" s="465"/>
      <c r="V229" s="465"/>
      <c r="W229" s="465"/>
      <c r="X229" s="465"/>
      <c r="Y229" s="465"/>
      <c r="Z229" s="465"/>
      <c r="AA229" s="465"/>
      <c r="AB229" s="465"/>
      <c r="AC229" s="465"/>
      <c r="AD229" s="465"/>
      <c r="AE229" s="465"/>
      <c r="AF229" s="465"/>
      <c r="AG229" s="465"/>
      <c r="AH229" s="465"/>
      <c r="AI229" s="465"/>
      <c r="AJ229" s="465"/>
      <c r="AK229" s="465"/>
      <c r="AL229" s="465"/>
      <c r="AM229" s="465"/>
      <c r="AN229" s="465"/>
      <c r="AO229" s="465"/>
      <c r="AP229" s="465"/>
      <c r="AQ229" s="466"/>
      <c r="AR229" s="464"/>
      <c r="AS229" s="465"/>
      <c r="AT229" s="465"/>
      <c r="AU229" s="465"/>
      <c r="AV229" s="465"/>
      <c r="AW229" s="465"/>
      <c r="AX229" s="465"/>
      <c r="AY229" s="465"/>
      <c r="AZ229" s="465"/>
      <c r="BA229" s="465"/>
      <c r="BB229" s="465"/>
      <c r="BC229" s="465"/>
      <c r="BD229" s="465"/>
      <c r="BE229" s="465"/>
      <c r="BF229" s="465"/>
      <c r="BG229" s="465"/>
      <c r="BH229" s="465"/>
      <c r="BI229" s="465"/>
      <c r="BJ229" s="465"/>
      <c r="BK229" s="465"/>
      <c r="BL229" s="465"/>
      <c r="BM229" s="465"/>
      <c r="BN229" s="465"/>
      <c r="BO229" s="466"/>
      <c r="BP229" s="464"/>
      <c r="BQ229" s="465"/>
      <c r="BR229" s="465"/>
      <c r="BS229" s="465"/>
      <c r="BT229" s="465"/>
      <c r="BU229" s="465"/>
      <c r="BV229" s="465"/>
      <c r="BW229" s="465"/>
      <c r="BX229" s="465"/>
      <c r="BY229" s="465"/>
      <c r="BZ229" s="465"/>
      <c r="CA229" s="465"/>
      <c r="CB229" s="465"/>
      <c r="CC229" s="465"/>
      <c r="CD229" s="465"/>
      <c r="CE229" s="465"/>
      <c r="CF229" s="465"/>
      <c r="CG229" s="465"/>
      <c r="CH229" s="465"/>
      <c r="CI229" s="465"/>
      <c r="CJ229" s="465"/>
      <c r="CK229" s="465"/>
      <c r="CL229" s="465"/>
      <c r="CM229" s="466"/>
      <c r="CN229" s="198"/>
      <c r="CO229" s="198"/>
      <c r="CP229" s="198"/>
      <c r="CQ229" s="98"/>
    </row>
    <row r="230" spans="1:95" s="57" customFormat="1" ht="25.5" customHeight="1">
      <c r="A230" s="422"/>
      <c r="B230" s="423"/>
      <c r="C230" s="423"/>
      <c r="D230" s="420"/>
      <c r="E230" s="412"/>
      <c r="F230" s="413"/>
      <c r="G230" s="412"/>
      <c r="H230" s="412"/>
      <c r="I230" s="412"/>
      <c r="J230" s="412"/>
      <c r="K230" s="412"/>
      <c r="M230" s="196"/>
      <c r="N230" s="197"/>
      <c r="O230" s="197"/>
      <c r="P230" s="197"/>
      <c r="Q230" s="197"/>
      <c r="R230" s="197"/>
      <c r="S230" s="197"/>
      <c r="T230" s="464"/>
      <c r="U230" s="465"/>
      <c r="V230" s="465"/>
      <c r="W230" s="465"/>
      <c r="X230" s="465"/>
      <c r="Y230" s="465"/>
      <c r="Z230" s="465"/>
      <c r="AA230" s="465"/>
      <c r="AB230" s="465"/>
      <c r="AC230" s="465"/>
      <c r="AD230" s="465"/>
      <c r="AE230" s="465"/>
      <c r="AF230" s="465"/>
      <c r="AG230" s="465"/>
      <c r="AH230" s="465"/>
      <c r="AI230" s="465"/>
      <c r="AJ230" s="465"/>
      <c r="AK230" s="465"/>
      <c r="AL230" s="465"/>
      <c r="AM230" s="465"/>
      <c r="AN230" s="465"/>
      <c r="AO230" s="465"/>
      <c r="AP230" s="465"/>
      <c r="AQ230" s="466"/>
      <c r="AR230" s="464"/>
      <c r="AS230" s="465"/>
      <c r="AT230" s="465"/>
      <c r="AU230" s="465"/>
      <c r="AV230" s="465"/>
      <c r="AW230" s="465"/>
      <c r="AX230" s="465"/>
      <c r="AY230" s="465"/>
      <c r="AZ230" s="465"/>
      <c r="BA230" s="465"/>
      <c r="BB230" s="465"/>
      <c r="BC230" s="465"/>
      <c r="BD230" s="465"/>
      <c r="BE230" s="465"/>
      <c r="BF230" s="465"/>
      <c r="BG230" s="465"/>
      <c r="BH230" s="465"/>
      <c r="BI230" s="465"/>
      <c r="BJ230" s="465"/>
      <c r="BK230" s="465"/>
      <c r="BL230" s="465"/>
      <c r="BM230" s="465"/>
      <c r="BN230" s="465"/>
      <c r="BO230" s="466"/>
      <c r="BP230" s="464"/>
      <c r="BQ230" s="465"/>
      <c r="BR230" s="465"/>
      <c r="BS230" s="465"/>
      <c r="BT230" s="465"/>
      <c r="BU230" s="465"/>
      <c r="BV230" s="465"/>
      <c r="BW230" s="465"/>
      <c r="BX230" s="465"/>
      <c r="BY230" s="465"/>
      <c r="BZ230" s="465"/>
      <c r="CA230" s="465"/>
      <c r="CB230" s="465"/>
      <c r="CC230" s="465"/>
      <c r="CD230" s="465"/>
      <c r="CE230" s="465"/>
      <c r="CF230" s="465"/>
      <c r="CG230" s="465"/>
      <c r="CH230" s="465"/>
      <c r="CI230" s="465"/>
      <c r="CJ230" s="465"/>
      <c r="CK230" s="465"/>
      <c r="CL230" s="465"/>
      <c r="CM230" s="466"/>
      <c r="CN230" s="198"/>
      <c r="CO230" s="198"/>
      <c r="CP230" s="198"/>
      <c r="CQ230" s="98"/>
    </row>
    <row r="231" spans="1:95" s="57" customFormat="1" ht="18" customHeight="1">
      <c r="A231" s="422" t="s">
        <v>100</v>
      </c>
      <c r="B231" s="423">
        <v>2110</v>
      </c>
      <c r="C231" s="423">
        <v>111</v>
      </c>
      <c r="D231" s="420"/>
      <c r="E231" s="412">
        <f>SUM(E234:E234)</f>
        <v>1612121.3900000001</v>
      </c>
      <c r="F231" s="413">
        <f>SUM(F234:F234)</f>
        <v>604091.65999999992</v>
      </c>
      <c r="G231" s="412">
        <f>SUM(G234:G234)</f>
        <v>2148863.2000000002</v>
      </c>
      <c r="H231" s="412">
        <f>SUM(H234:H234)</f>
        <v>4381782.4800000004</v>
      </c>
      <c r="I231" s="412">
        <f>SUM(I234:I234)</f>
        <v>5083031.33</v>
      </c>
      <c r="J231" s="412">
        <f>I231</f>
        <v>5083031.33</v>
      </c>
      <c r="K231" s="412" t="s">
        <v>60</v>
      </c>
      <c r="M231" s="196"/>
      <c r="N231" s="197"/>
      <c r="O231" s="197"/>
      <c r="P231" s="197"/>
      <c r="Q231" s="197"/>
      <c r="R231" s="197"/>
      <c r="S231" s="197"/>
      <c r="T231" s="464"/>
      <c r="U231" s="465"/>
      <c r="V231" s="465"/>
      <c r="W231" s="465"/>
      <c r="X231" s="465"/>
      <c r="Y231" s="465"/>
      <c r="Z231" s="465"/>
      <c r="AA231" s="465"/>
      <c r="AB231" s="465"/>
      <c r="AC231" s="465"/>
      <c r="AD231" s="465"/>
      <c r="AE231" s="465"/>
      <c r="AF231" s="465"/>
      <c r="AG231" s="465"/>
      <c r="AH231" s="465"/>
      <c r="AI231" s="465"/>
      <c r="AJ231" s="465"/>
      <c r="AK231" s="465"/>
      <c r="AL231" s="465"/>
      <c r="AM231" s="465"/>
      <c r="AN231" s="465"/>
      <c r="AO231" s="465"/>
      <c r="AP231" s="465"/>
      <c r="AQ231" s="466"/>
      <c r="AR231" s="464"/>
      <c r="AS231" s="465"/>
      <c r="AT231" s="465"/>
      <c r="AU231" s="465"/>
      <c r="AV231" s="465"/>
      <c r="AW231" s="465"/>
      <c r="AX231" s="465"/>
      <c r="AY231" s="465"/>
      <c r="AZ231" s="465"/>
      <c r="BA231" s="465"/>
      <c r="BB231" s="465"/>
      <c r="BC231" s="465"/>
      <c r="BD231" s="465"/>
      <c r="BE231" s="465"/>
      <c r="BF231" s="465"/>
      <c r="BG231" s="465"/>
      <c r="BH231" s="465"/>
      <c r="BI231" s="465"/>
      <c r="BJ231" s="465"/>
      <c r="BK231" s="465"/>
      <c r="BL231" s="465"/>
      <c r="BM231" s="465"/>
      <c r="BN231" s="465"/>
      <c r="BO231" s="466"/>
      <c r="BP231" s="464"/>
      <c r="BQ231" s="465"/>
      <c r="BR231" s="465"/>
      <c r="BS231" s="465"/>
      <c r="BT231" s="465"/>
      <c r="BU231" s="465"/>
      <c r="BV231" s="465"/>
      <c r="BW231" s="465"/>
      <c r="BX231" s="465"/>
      <c r="BY231" s="465"/>
      <c r="BZ231" s="465"/>
      <c r="CA231" s="465"/>
      <c r="CB231" s="465"/>
      <c r="CC231" s="465"/>
      <c r="CD231" s="465"/>
      <c r="CE231" s="465"/>
      <c r="CF231" s="465"/>
      <c r="CG231" s="465"/>
      <c r="CH231" s="465"/>
      <c r="CI231" s="465"/>
      <c r="CJ231" s="465"/>
      <c r="CK231" s="465"/>
      <c r="CL231" s="465"/>
      <c r="CM231" s="466"/>
      <c r="CN231" s="198"/>
      <c r="CO231" s="198"/>
      <c r="CP231" s="198"/>
      <c r="CQ231" s="98"/>
    </row>
    <row r="232" spans="1:95" s="57" customFormat="1" ht="18" customHeight="1">
      <c r="A232" s="422"/>
      <c r="B232" s="423"/>
      <c r="C232" s="423"/>
      <c r="D232" s="420"/>
      <c r="E232" s="412"/>
      <c r="F232" s="413"/>
      <c r="G232" s="412"/>
      <c r="H232" s="412"/>
      <c r="I232" s="412"/>
      <c r="J232" s="412"/>
      <c r="K232" s="412"/>
      <c r="L232" s="111"/>
      <c r="M232" s="196"/>
      <c r="N232" s="197"/>
      <c r="O232" s="197"/>
      <c r="P232" s="197"/>
      <c r="Q232" s="197"/>
      <c r="R232" s="197"/>
      <c r="S232" s="197"/>
      <c r="T232" s="464"/>
      <c r="U232" s="465"/>
      <c r="V232" s="465"/>
      <c r="W232" s="465"/>
      <c r="X232" s="465"/>
      <c r="Y232" s="465"/>
      <c r="Z232" s="465"/>
      <c r="AA232" s="465"/>
      <c r="AB232" s="465"/>
      <c r="AC232" s="465"/>
      <c r="AD232" s="465"/>
      <c r="AE232" s="465"/>
      <c r="AF232" s="465"/>
      <c r="AG232" s="465"/>
      <c r="AH232" s="465"/>
      <c r="AI232" s="465"/>
      <c r="AJ232" s="465"/>
      <c r="AK232" s="465"/>
      <c r="AL232" s="465"/>
      <c r="AM232" s="465"/>
      <c r="AN232" s="465"/>
      <c r="AO232" s="465"/>
      <c r="AP232" s="465"/>
      <c r="AQ232" s="466"/>
      <c r="AR232" s="464"/>
      <c r="AS232" s="465"/>
      <c r="AT232" s="465"/>
      <c r="AU232" s="465"/>
      <c r="AV232" s="465"/>
      <c r="AW232" s="465"/>
      <c r="AX232" s="465"/>
      <c r="AY232" s="465"/>
      <c r="AZ232" s="465"/>
      <c r="BA232" s="465"/>
      <c r="BB232" s="465"/>
      <c r="BC232" s="465"/>
      <c r="BD232" s="465"/>
      <c r="BE232" s="465"/>
      <c r="BF232" s="465"/>
      <c r="BG232" s="465"/>
      <c r="BH232" s="465"/>
      <c r="BI232" s="465"/>
      <c r="BJ232" s="465"/>
      <c r="BK232" s="465"/>
      <c r="BL232" s="465"/>
      <c r="BM232" s="465"/>
      <c r="BN232" s="465"/>
      <c r="BO232" s="466"/>
      <c r="BP232" s="464"/>
      <c r="BQ232" s="465"/>
      <c r="BR232" s="465"/>
      <c r="BS232" s="465"/>
      <c r="BT232" s="465"/>
      <c r="BU232" s="465"/>
      <c r="BV232" s="465"/>
      <c r="BW232" s="465"/>
      <c r="BX232" s="465"/>
      <c r="BY232" s="465"/>
      <c r="BZ232" s="465"/>
      <c r="CA232" s="465"/>
      <c r="CB232" s="465"/>
      <c r="CC232" s="465"/>
      <c r="CD232" s="465"/>
      <c r="CE232" s="465"/>
      <c r="CF232" s="465"/>
      <c r="CG232" s="465"/>
      <c r="CH232" s="465"/>
      <c r="CI232" s="465"/>
      <c r="CJ232" s="465"/>
      <c r="CK232" s="465"/>
      <c r="CL232" s="465"/>
      <c r="CM232" s="466"/>
      <c r="CN232" s="198"/>
      <c r="CO232" s="198"/>
      <c r="CP232" s="198"/>
      <c r="CQ232" s="98"/>
    </row>
    <row r="233" spans="1:95" s="103" customFormat="1" ht="18" customHeight="1">
      <c r="A233" s="130" t="s">
        <v>189</v>
      </c>
      <c r="B233" s="99"/>
      <c r="C233" s="100"/>
      <c r="D233" s="104"/>
      <c r="E233" s="101"/>
      <c r="F233" s="101"/>
      <c r="G233" s="102"/>
      <c r="H233" s="99"/>
      <c r="I233" s="99"/>
      <c r="J233" s="99"/>
      <c r="K233" s="99"/>
      <c r="L233" s="109"/>
      <c r="M233" s="196"/>
      <c r="N233" s="197"/>
      <c r="O233" s="197"/>
      <c r="P233" s="197"/>
      <c r="Q233" s="197"/>
      <c r="R233" s="197"/>
      <c r="S233" s="197"/>
      <c r="T233" s="464"/>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6"/>
      <c r="AR233" s="464"/>
      <c r="AS233" s="465"/>
      <c r="AT233" s="465"/>
      <c r="AU233" s="465"/>
      <c r="AV233" s="465"/>
      <c r="AW233" s="465"/>
      <c r="AX233" s="465"/>
      <c r="AY233" s="465"/>
      <c r="AZ233" s="465"/>
      <c r="BA233" s="465"/>
      <c r="BB233" s="465"/>
      <c r="BC233" s="465"/>
      <c r="BD233" s="465"/>
      <c r="BE233" s="465"/>
      <c r="BF233" s="465"/>
      <c r="BG233" s="465"/>
      <c r="BH233" s="465"/>
      <c r="BI233" s="465"/>
      <c r="BJ233" s="465"/>
      <c r="BK233" s="465"/>
      <c r="BL233" s="465"/>
      <c r="BM233" s="465"/>
      <c r="BN233" s="465"/>
      <c r="BO233" s="466"/>
      <c r="BP233" s="464"/>
      <c r="BQ233" s="465"/>
      <c r="BR233" s="465"/>
      <c r="BS233" s="465"/>
      <c r="BT233" s="465"/>
      <c r="BU233" s="465"/>
      <c r="BV233" s="465"/>
      <c r="BW233" s="465"/>
      <c r="BX233" s="465"/>
      <c r="BY233" s="465"/>
      <c r="BZ233" s="465"/>
      <c r="CA233" s="465"/>
      <c r="CB233" s="465"/>
      <c r="CC233" s="465"/>
      <c r="CD233" s="465"/>
      <c r="CE233" s="465"/>
      <c r="CF233" s="465"/>
      <c r="CG233" s="465"/>
      <c r="CH233" s="465"/>
      <c r="CI233" s="465"/>
      <c r="CJ233" s="465"/>
      <c r="CK233" s="465"/>
      <c r="CL233" s="465"/>
      <c r="CM233" s="466"/>
      <c r="CN233" s="198"/>
      <c r="CO233" s="198"/>
      <c r="CP233" s="198"/>
      <c r="CQ233" s="98"/>
    </row>
    <row r="234" spans="1:95" s="107" customFormat="1" ht="18" customHeight="1">
      <c r="A234" s="131" t="s">
        <v>190</v>
      </c>
      <c r="B234" s="104"/>
      <c r="C234" s="105" t="s">
        <v>180</v>
      </c>
      <c r="D234" s="104">
        <v>211</v>
      </c>
      <c r="E234" s="120">
        <f>362172.4+1249948.99</f>
        <v>1612121.3900000001</v>
      </c>
      <c r="F234" s="114">
        <f>121103.31+482988.35</f>
        <v>604091.65999999992</v>
      </c>
      <c r="G234" s="113">
        <f>87182.91+2061680.29</f>
        <v>2148863.2000000002</v>
      </c>
      <c r="H234" s="114">
        <v>4381782.4800000004</v>
      </c>
      <c r="I234" s="114">
        <v>5083031.33</v>
      </c>
      <c r="J234" s="114">
        <f>I234</f>
        <v>5083031.33</v>
      </c>
      <c r="K234" s="104" t="s">
        <v>3</v>
      </c>
      <c r="L234" s="110"/>
      <c r="M234" s="196"/>
      <c r="N234" s="197"/>
      <c r="O234" s="197"/>
      <c r="P234" s="197"/>
      <c r="Q234" s="197"/>
      <c r="R234" s="197"/>
      <c r="S234" s="197"/>
      <c r="T234" s="464"/>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6"/>
      <c r="AR234" s="464"/>
      <c r="AS234" s="465"/>
      <c r="AT234" s="465"/>
      <c r="AU234" s="465"/>
      <c r="AV234" s="465"/>
      <c r="AW234" s="465"/>
      <c r="AX234" s="465"/>
      <c r="AY234" s="465"/>
      <c r="AZ234" s="465"/>
      <c r="BA234" s="465"/>
      <c r="BB234" s="465"/>
      <c r="BC234" s="465"/>
      <c r="BD234" s="465"/>
      <c r="BE234" s="465"/>
      <c r="BF234" s="465"/>
      <c r="BG234" s="465"/>
      <c r="BH234" s="465"/>
      <c r="BI234" s="465"/>
      <c r="BJ234" s="465"/>
      <c r="BK234" s="465"/>
      <c r="BL234" s="465"/>
      <c r="BM234" s="465"/>
      <c r="BN234" s="465"/>
      <c r="BO234" s="466"/>
      <c r="BP234" s="464"/>
      <c r="BQ234" s="465"/>
      <c r="BR234" s="465"/>
      <c r="BS234" s="465"/>
      <c r="BT234" s="465"/>
      <c r="BU234" s="465"/>
      <c r="BV234" s="465"/>
      <c r="BW234" s="465"/>
      <c r="BX234" s="465"/>
      <c r="BY234" s="465"/>
      <c r="BZ234" s="465"/>
      <c r="CA234" s="465"/>
      <c r="CB234" s="465"/>
      <c r="CC234" s="465"/>
      <c r="CD234" s="465"/>
      <c r="CE234" s="465"/>
      <c r="CF234" s="465"/>
      <c r="CG234" s="465"/>
      <c r="CH234" s="465"/>
      <c r="CI234" s="465"/>
      <c r="CJ234" s="465"/>
      <c r="CK234" s="465"/>
      <c r="CL234" s="465"/>
      <c r="CM234" s="466"/>
      <c r="CN234" s="198"/>
      <c r="CO234" s="198"/>
      <c r="CP234" s="198"/>
      <c r="CQ234" s="98"/>
    </row>
    <row r="235" spans="1:95" s="57" customFormat="1" ht="87.75" customHeight="1">
      <c r="A235" s="80" t="s">
        <v>72</v>
      </c>
      <c r="B235" s="79">
        <v>2140</v>
      </c>
      <c r="C235" s="79">
        <v>119</v>
      </c>
      <c r="D235" s="76"/>
      <c r="E235" s="81">
        <f>E236</f>
        <v>486860.65</v>
      </c>
      <c r="F235" s="166">
        <f t="shared" ref="F235" si="139">F236</f>
        <v>182861.24</v>
      </c>
      <c r="G235" s="81">
        <f t="shared" ref="G235" si="140">G236</f>
        <v>648956.66999999993</v>
      </c>
      <c r="H235" s="81">
        <f t="shared" ref="H235" si="141">H236</f>
        <v>1323298.31</v>
      </c>
      <c r="I235" s="81">
        <f t="shared" ref="I235" si="142">I236</f>
        <v>1535075.46</v>
      </c>
      <c r="J235" s="81">
        <f>I235</f>
        <v>1535075.46</v>
      </c>
      <c r="K235" s="172" t="s">
        <v>60</v>
      </c>
      <c r="M235" s="196"/>
      <c r="N235" s="197"/>
      <c r="O235" s="197"/>
      <c r="P235" s="197"/>
      <c r="Q235" s="197"/>
      <c r="R235" s="197"/>
      <c r="S235" s="197"/>
      <c r="T235" s="464"/>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6"/>
      <c r="AR235" s="464"/>
      <c r="AS235" s="465"/>
      <c r="AT235" s="465"/>
      <c r="AU235" s="465"/>
      <c r="AV235" s="465"/>
      <c r="AW235" s="465"/>
      <c r="AX235" s="465"/>
      <c r="AY235" s="465"/>
      <c r="AZ235" s="465"/>
      <c r="BA235" s="465"/>
      <c r="BB235" s="465"/>
      <c r="BC235" s="465"/>
      <c r="BD235" s="465"/>
      <c r="BE235" s="465"/>
      <c r="BF235" s="465"/>
      <c r="BG235" s="465"/>
      <c r="BH235" s="465"/>
      <c r="BI235" s="465"/>
      <c r="BJ235" s="465"/>
      <c r="BK235" s="465"/>
      <c r="BL235" s="465"/>
      <c r="BM235" s="465"/>
      <c r="BN235" s="465"/>
      <c r="BO235" s="466"/>
      <c r="BP235" s="464"/>
      <c r="BQ235" s="465"/>
      <c r="BR235" s="465"/>
      <c r="BS235" s="465"/>
      <c r="BT235" s="465"/>
      <c r="BU235" s="465"/>
      <c r="BV235" s="465"/>
      <c r="BW235" s="465"/>
      <c r="BX235" s="465"/>
      <c r="BY235" s="465"/>
      <c r="BZ235" s="465"/>
      <c r="CA235" s="465"/>
      <c r="CB235" s="465"/>
      <c r="CC235" s="465"/>
      <c r="CD235" s="465"/>
      <c r="CE235" s="465"/>
      <c r="CF235" s="465"/>
      <c r="CG235" s="465"/>
      <c r="CH235" s="465"/>
      <c r="CI235" s="465"/>
      <c r="CJ235" s="465"/>
      <c r="CK235" s="465"/>
      <c r="CL235" s="465"/>
      <c r="CM235" s="466"/>
      <c r="CN235" s="198"/>
      <c r="CO235" s="198"/>
      <c r="CP235" s="198"/>
      <c r="CQ235" s="98"/>
    </row>
    <row r="236" spans="1:95" s="67" customFormat="1" ht="30" customHeight="1">
      <c r="A236" s="416" t="s">
        <v>101</v>
      </c>
      <c r="B236" s="420">
        <v>2141</v>
      </c>
      <c r="C236" s="420">
        <v>119</v>
      </c>
      <c r="D236" s="420"/>
      <c r="E236" s="414">
        <f>E238</f>
        <v>486860.65</v>
      </c>
      <c r="F236" s="421">
        <f t="shared" ref="F236:I236" si="143">F238</f>
        <v>182861.24</v>
      </c>
      <c r="G236" s="414">
        <f t="shared" si="143"/>
        <v>648956.66999999993</v>
      </c>
      <c r="H236" s="414">
        <f t="shared" si="143"/>
        <v>1323298.31</v>
      </c>
      <c r="I236" s="414">
        <f t="shared" si="143"/>
        <v>1535075.46</v>
      </c>
      <c r="J236" s="414">
        <f>I236</f>
        <v>1535075.46</v>
      </c>
      <c r="K236" s="414" t="s">
        <v>60</v>
      </c>
      <c r="M236" s="196"/>
      <c r="N236" s="197"/>
      <c r="O236" s="197"/>
      <c r="P236" s="197"/>
      <c r="Q236" s="197"/>
      <c r="R236" s="197"/>
      <c r="S236" s="197"/>
      <c r="T236" s="464"/>
      <c r="U236" s="465"/>
      <c r="V236" s="465"/>
      <c r="W236" s="465"/>
      <c r="X236" s="465"/>
      <c r="Y236" s="465"/>
      <c r="Z236" s="465"/>
      <c r="AA236" s="465"/>
      <c r="AB236" s="465"/>
      <c r="AC236" s="465"/>
      <c r="AD236" s="465"/>
      <c r="AE236" s="465"/>
      <c r="AF236" s="465"/>
      <c r="AG236" s="465"/>
      <c r="AH236" s="465"/>
      <c r="AI236" s="465"/>
      <c r="AJ236" s="465"/>
      <c r="AK236" s="465"/>
      <c r="AL236" s="465"/>
      <c r="AM236" s="465"/>
      <c r="AN236" s="465"/>
      <c r="AO236" s="465"/>
      <c r="AP236" s="465"/>
      <c r="AQ236" s="466"/>
      <c r="AR236" s="464"/>
      <c r="AS236" s="465"/>
      <c r="AT236" s="465"/>
      <c r="AU236" s="465"/>
      <c r="AV236" s="465"/>
      <c r="AW236" s="465"/>
      <c r="AX236" s="465"/>
      <c r="AY236" s="465"/>
      <c r="AZ236" s="465"/>
      <c r="BA236" s="465"/>
      <c r="BB236" s="465"/>
      <c r="BC236" s="465"/>
      <c r="BD236" s="465"/>
      <c r="BE236" s="465"/>
      <c r="BF236" s="465"/>
      <c r="BG236" s="465"/>
      <c r="BH236" s="465"/>
      <c r="BI236" s="465"/>
      <c r="BJ236" s="465"/>
      <c r="BK236" s="465"/>
      <c r="BL236" s="465"/>
      <c r="BM236" s="465"/>
      <c r="BN236" s="465"/>
      <c r="BO236" s="466"/>
      <c r="BP236" s="464"/>
      <c r="BQ236" s="465"/>
      <c r="BR236" s="465"/>
      <c r="BS236" s="465"/>
      <c r="BT236" s="465"/>
      <c r="BU236" s="465"/>
      <c r="BV236" s="465"/>
      <c r="BW236" s="465"/>
      <c r="BX236" s="465"/>
      <c r="BY236" s="465"/>
      <c r="BZ236" s="465"/>
      <c r="CA236" s="465"/>
      <c r="CB236" s="465"/>
      <c r="CC236" s="465"/>
      <c r="CD236" s="465"/>
      <c r="CE236" s="465"/>
      <c r="CF236" s="465"/>
      <c r="CG236" s="465"/>
      <c r="CH236" s="465"/>
      <c r="CI236" s="465"/>
      <c r="CJ236" s="465"/>
      <c r="CK236" s="465"/>
      <c r="CL236" s="465"/>
      <c r="CM236" s="466"/>
      <c r="CN236" s="198"/>
      <c r="CO236" s="198"/>
      <c r="CP236" s="198"/>
      <c r="CQ236" s="98"/>
    </row>
    <row r="237" spans="1:95" s="67" customFormat="1" ht="15.75" customHeight="1">
      <c r="A237" s="416"/>
      <c r="B237" s="420"/>
      <c r="C237" s="420"/>
      <c r="D237" s="420"/>
      <c r="E237" s="414"/>
      <c r="F237" s="421"/>
      <c r="G237" s="414"/>
      <c r="H237" s="414"/>
      <c r="I237" s="414"/>
      <c r="J237" s="414"/>
      <c r="K237" s="414"/>
      <c r="M237" s="196"/>
      <c r="N237" s="197"/>
      <c r="O237" s="197"/>
      <c r="P237" s="197"/>
      <c r="Q237" s="197"/>
      <c r="R237" s="197"/>
      <c r="S237" s="197"/>
      <c r="T237" s="464"/>
      <c r="U237" s="465"/>
      <c r="V237" s="465"/>
      <c r="W237" s="465"/>
      <c r="X237" s="465"/>
      <c r="Y237" s="465"/>
      <c r="Z237" s="465"/>
      <c r="AA237" s="465"/>
      <c r="AB237" s="465"/>
      <c r="AC237" s="465"/>
      <c r="AD237" s="465"/>
      <c r="AE237" s="465"/>
      <c r="AF237" s="465"/>
      <c r="AG237" s="465"/>
      <c r="AH237" s="465"/>
      <c r="AI237" s="465"/>
      <c r="AJ237" s="465"/>
      <c r="AK237" s="465"/>
      <c r="AL237" s="465"/>
      <c r="AM237" s="465"/>
      <c r="AN237" s="465"/>
      <c r="AO237" s="465"/>
      <c r="AP237" s="465"/>
      <c r="AQ237" s="466"/>
      <c r="AR237" s="464"/>
      <c r="AS237" s="465"/>
      <c r="AT237" s="465"/>
      <c r="AU237" s="465"/>
      <c r="AV237" s="465"/>
      <c r="AW237" s="465"/>
      <c r="AX237" s="465"/>
      <c r="AY237" s="465"/>
      <c r="AZ237" s="465"/>
      <c r="BA237" s="465"/>
      <c r="BB237" s="465"/>
      <c r="BC237" s="465"/>
      <c r="BD237" s="465"/>
      <c r="BE237" s="465"/>
      <c r="BF237" s="465"/>
      <c r="BG237" s="465"/>
      <c r="BH237" s="465"/>
      <c r="BI237" s="465"/>
      <c r="BJ237" s="465"/>
      <c r="BK237" s="465"/>
      <c r="BL237" s="465"/>
      <c r="BM237" s="465"/>
      <c r="BN237" s="465"/>
      <c r="BO237" s="466"/>
      <c r="BP237" s="464"/>
      <c r="BQ237" s="465"/>
      <c r="BR237" s="465"/>
      <c r="BS237" s="465"/>
      <c r="BT237" s="465"/>
      <c r="BU237" s="465"/>
      <c r="BV237" s="465"/>
      <c r="BW237" s="465"/>
      <c r="BX237" s="465"/>
      <c r="BY237" s="465"/>
      <c r="BZ237" s="465"/>
      <c r="CA237" s="465"/>
      <c r="CB237" s="465"/>
      <c r="CC237" s="465"/>
      <c r="CD237" s="465"/>
      <c r="CE237" s="465"/>
      <c r="CF237" s="465"/>
      <c r="CG237" s="465"/>
      <c r="CH237" s="465"/>
      <c r="CI237" s="465"/>
      <c r="CJ237" s="465"/>
      <c r="CK237" s="465"/>
      <c r="CL237" s="465"/>
      <c r="CM237" s="466"/>
      <c r="CN237" s="198"/>
      <c r="CO237" s="198"/>
      <c r="CP237" s="198"/>
      <c r="CQ237" s="98"/>
    </row>
    <row r="238" spans="1:95" s="107" customFormat="1" ht="18" customHeight="1">
      <c r="A238" s="131" t="s">
        <v>191</v>
      </c>
      <c r="B238" s="104"/>
      <c r="C238" s="105" t="s">
        <v>180</v>
      </c>
      <c r="D238" s="104">
        <v>213</v>
      </c>
      <c r="E238" s="114">
        <f>109376.07+377484.58</f>
        <v>486860.65</v>
      </c>
      <c r="F238" s="114">
        <f>36998.77+145862.47</f>
        <v>182861.24</v>
      </c>
      <c r="G238" s="113">
        <f>26329.23+622627.45-0.01</f>
        <v>648956.66999999993</v>
      </c>
      <c r="H238" s="114">
        <v>1323298.31</v>
      </c>
      <c r="I238" s="114">
        <v>1535075.46</v>
      </c>
      <c r="J238" s="114">
        <f>I238</f>
        <v>1535075.46</v>
      </c>
      <c r="K238" s="104" t="s">
        <v>3</v>
      </c>
      <c r="L238" s="110"/>
      <c r="M238" s="196"/>
      <c r="N238" s="197"/>
      <c r="O238" s="197"/>
      <c r="P238" s="197"/>
      <c r="Q238" s="197"/>
      <c r="R238" s="197"/>
      <c r="S238" s="197"/>
      <c r="T238" s="464"/>
      <c r="U238" s="465"/>
      <c r="V238" s="465"/>
      <c r="W238" s="465"/>
      <c r="X238" s="465"/>
      <c r="Y238" s="465"/>
      <c r="Z238" s="465"/>
      <c r="AA238" s="465"/>
      <c r="AB238" s="465"/>
      <c r="AC238" s="465"/>
      <c r="AD238" s="465"/>
      <c r="AE238" s="465"/>
      <c r="AF238" s="465"/>
      <c r="AG238" s="465"/>
      <c r="AH238" s="465"/>
      <c r="AI238" s="465"/>
      <c r="AJ238" s="465"/>
      <c r="AK238" s="465"/>
      <c r="AL238" s="465"/>
      <c r="AM238" s="465"/>
      <c r="AN238" s="465"/>
      <c r="AO238" s="465"/>
      <c r="AP238" s="465"/>
      <c r="AQ238" s="466"/>
      <c r="AR238" s="464"/>
      <c r="AS238" s="465"/>
      <c r="AT238" s="465"/>
      <c r="AU238" s="465"/>
      <c r="AV238" s="465"/>
      <c r="AW238" s="465"/>
      <c r="AX238" s="465"/>
      <c r="AY238" s="465"/>
      <c r="AZ238" s="465"/>
      <c r="BA238" s="465"/>
      <c r="BB238" s="465"/>
      <c r="BC238" s="465"/>
      <c r="BD238" s="465"/>
      <c r="BE238" s="465"/>
      <c r="BF238" s="465"/>
      <c r="BG238" s="465"/>
      <c r="BH238" s="465"/>
      <c r="BI238" s="465"/>
      <c r="BJ238" s="465"/>
      <c r="BK238" s="465"/>
      <c r="BL238" s="465"/>
      <c r="BM238" s="465"/>
      <c r="BN238" s="465"/>
      <c r="BO238" s="466"/>
      <c r="BP238" s="464"/>
      <c r="BQ238" s="465"/>
      <c r="BR238" s="465"/>
      <c r="BS238" s="465"/>
      <c r="BT238" s="465"/>
      <c r="BU238" s="465"/>
      <c r="BV238" s="465"/>
      <c r="BW238" s="465"/>
      <c r="BX238" s="465"/>
      <c r="BY238" s="465"/>
      <c r="BZ238" s="465"/>
      <c r="CA238" s="465"/>
      <c r="CB238" s="465"/>
      <c r="CC238" s="465"/>
      <c r="CD238" s="465"/>
      <c r="CE238" s="465"/>
      <c r="CF238" s="465"/>
      <c r="CG238" s="465"/>
      <c r="CH238" s="465"/>
      <c r="CI238" s="465"/>
      <c r="CJ238" s="465"/>
      <c r="CK238" s="465"/>
      <c r="CL238" s="465"/>
      <c r="CM238" s="466"/>
      <c r="CN238" s="198"/>
      <c r="CO238" s="198"/>
      <c r="CP238" s="198"/>
      <c r="CQ238" s="98"/>
    </row>
    <row r="239" spans="1:95" s="119" customFormat="1" ht="30" hidden="1" customHeight="1">
      <c r="A239" s="129" t="s">
        <v>61</v>
      </c>
      <c r="B239" s="451" t="s">
        <v>225</v>
      </c>
      <c r="C239" s="452"/>
      <c r="D239" s="453"/>
      <c r="E239" s="117">
        <f>E240</f>
        <v>0</v>
      </c>
      <c r="F239" s="164">
        <f t="shared" ref="F239:I239" si="144">F240</f>
        <v>0</v>
      </c>
      <c r="G239" s="117">
        <f t="shared" si="144"/>
        <v>0</v>
      </c>
      <c r="H239" s="117">
        <f t="shared" si="144"/>
        <v>0</v>
      </c>
      <c r="I239" s="117">
        <f t="shared" si="144"/>
        <v>0</v>
      </c>
      <c r="J239" s="117" t="s">
        <v>3</v>
      </c>
      <c r="K239" s="117" t="s">
        <v>3</v>
      </c>
      <c r="L239" s="118"/>
      <c r="M239" s="196"/>
      <c r="N239" s="197"/>
      <c r="O239" s="197"/>
      <c r="P239" s="197"/>
      <c r="Q239" s="197"/>
      <c r="R239" s="197"/>
      <c r="S239" s="197"/>
      <c r="T239" s="464"/>
      <c r="U239" s="465"/>
      <c r="V239" s="465"/>
      <c r="W239" s="465"/>
      <c r="X239" s="465"/>
      <c r="Y239" s="465"/>
      <c r="Z239" s="465"/>
      <c r="AA239" s="465"/>
      <c r="AB239" s="465"/>
      <c r="AC239" s="465"/>
      <c r="AD239" s="465"/>
      <c r="AE239" s="465"/>
      <c r="AF239" s="465"/>
      <c r="AG239" s="465"/>
      <c r="AH239" s="465"/>
      <c r="AI239" s="465"/>
      <c r="AJ239" s="465"/>
      <c r="AK239" s="465"/>
      <c r="AL239" s="465"/>
      <c r="AM239" s="465"/>
      <c r="AN239" s="465"/>
      <c r="AO239" s="465"/>
      <c r="AP239" s="465"/>
      <c r="AQ239" s="466"/>
      <c r="AR239" s="464"/>
      <c r="AS239" s="465"/>
      <c r="AT239" s="465"/>
      <c r="AU239" s="465"/>
      <c r="AV239" s="465"/>
      <c r="AW239" s="465"/>
      <c r="AX239" s="465"/>
      <c r="AY239" s="465"/>
      <c r="AZ239" s="465"/>
      <c r="BA239" s="465"/>
      <c r="BB239" s="465"/>
      <c r="BC239" s="465"/>
      <c r="BD239" s="465"/>
      <c r="BE239" s="465"/>
      <c r="BF239" s="465"/>
      <c r="BG239" s="465"/>
      <c r="BH239" s="465"/>
      <c r="BI239" s="465"/>
      <c r="BJ239" s="465"/>
      <c r="BK239" s="465"/>
      <c r="BL239" s="465"/>
      <c r="BM239" s="465"/>
      <c r="BN239" s="465"/>
      <c r="BO239" s="466"/>
      <c r="BP239" s="464"/>
      <c r="BQ239" s="465"/>
      <c r="BR239" s="465"/>
      <c r="BS239" s="465"/>
      <c r="BT239" s="465"/>
      <c r="BU239" s="465"/>
      <c r="BV239" s="465"/>
      <c r="BW239" s="465"/>
      <c r="BX239" s="465"/>
      <c r="BY239" s="465"/>
      <c r="BZ239" s="465"/>
      <c r="CA239" s="465"/>
      <c r="CB239" s="465"/>
      <c r="CC239" s="465"/>
      <c r="CD239" s="465"/>
      <c r="CE239" s="465"/>
      <c r="CF239" s="465"/>
      <c r="CG239" s="465"/>
      <c r="CH239" s="465"/>
      <c r="CI239" s="465"/>
      <c r="CJ239" s="465"/>
      <c r="CK239" s="465"/>
      <c r="CL239" s="465"/>
      <c r="CM239" s="466"/>
      <c r="CN239" s="198"/>
      <c r="CO239" s="198"/>
      <c r="CP239" s="198"/>
      <c r="CQ239" s="98"/>
    </row>
    <row r="240" spans="1:95" s="57" customFormat="1" ht="26.25" hidden="1" customHeight="1">
      <c r="A240" s="422" t="s">
        <v>99</v>
      </c>
      <c r="B240" s="423">
        <v>2100</v>
      </c>
      <c r="C240" s="423" t="s">
        <v>60</v>
      </c>
      <c r="D240" s="420"/>
      <c r="E240" s="412">
        <f>E242+E246</f>
        <v>0</v>
      </c>
      <c r="F240" s="413">
        <f t="shared" ref="F240:I240" si="145">F242+F246</f>
        <v>0</v>
      </c>
      <c r="G240" s="412">
        <f t="shared" si="145"/>
        <v>0</v>
      </c>
      <c r="H240" s="412">
        <f t="shared" si="145"/>
        <v>0</v>
      </c>
      <c r="I240" s="412">
        <f t="shared" si="145"/>
        <v>0</v>
      </c>
      <c r="J240" s="412" t="s">
        <v>60</v>
      </c>
      <c r="K240" s="412" t="s">
        <v>60</v>
      </c>
      <c r="M240" s="196"/>
      <c r="N240" s="197"/>
      <c r="O240" s="197"/>
      <c r="P240" s="197"/>
      <c r="Q240" s="197"/>
      <c r="R240" s="197"/>
      <c r="S240" s="197"/>
      <c r="T240" s="464"/>
      <c r="U240" s="465"/>
      <c r="V240" s="465"/>
      <c r="W240" s="465"/>
      <c r="X240" s="465"/>
      <c r="Y240" s="465"/>
      <c r="Z240" s="465"/>
      <c r="AA240" s="465"/>
      <c r="AB240" s="465"/>
      <c r="AC240" s="465"/>
      <c r="AD240" s="465"/>
      <c r="AE240" s="465"/>
      <c r="AF240" s="465"/>
      <c r="AG240" s="465"/>
      <c r="AH240" s="465"/>
      <c r="AI240" s="465"/>
      <c r="AJ240" s="465"/>
      <c r="AK240" s="465"/>
      <c r="AL240" s="465"/>
      <c r="AM240" s="465"/>
      <c r="AN240" s="465"/>
      <c r="AO240" s="465"/>
      <c r="AP240" s="465"/>
      <c r="AQ240" s="466"/>
      <c r="AR240" s="464"/>
      <c r="AS240" s="465"/>
      <c r="AT240" s="465"/>
      <c r="AU240" s="465"/>
      <c r="AV240" s="465"/>
      <c r="AW240" s="465"/>
      <c r="AX240" s="465"/>
      <c r="AY240" s="465"/>
      <c r="AZ240" s="465"/>
      <c r="BA240" s="465"/>
      <c r="BB240" s="465"/>
      <c r="BC240" s="465"/>
      <c r="BD240" s="465"/>
      <c r="BE240" s="465"/>
      <c r="BF240" s="465"/>
      <c r="BG240" s="465"/>
      <c r="BH240" s="465"/>
      <c r="BI240" s="465"/>
      <c r="BJ240" s="465"/>
      <c r="BK240" s="465"/>
      <c r="BL240" s="465"/>
      <c r="BM240" s="465"/>
      <c r="BN240" s="465"/>
      <c r="BO240" s="466"/>
      <c r="BP240" s="464"/>
      <c r="BQ240" s="465"/>
      <c r="BR240" s="465"/>
      <c r="BS240" s="465"/>
      <c r="BT240" s="465"/>
      <c r="BU240" s="465"/>
      <c r="BV240" s="465"/>
      <c r="BW240" s="465"/>
      <c r="BX240" s="465"/>
      <c r="BY240" s="465"/>
      <c r="BZ240" s="465"/>
      <c r="CA240" s="465"/>
      <c r="CB240" s="465"/>
      <c r="CC240" s="465"/>
      <c r="CD240" s="465"/>
      <c r="CE240" s="465"/>
      <c r="CF240" s="465"/>
      <c r="CG240" s="465"/>
      <c r="CH240" s="465"/>
      <c r="CI240" s="465"/>
      <c r="CJ240" s="465"/>
      <c r="CK240" s="465"/>
      <c r="CL240" s="465"/>
      <c r="CM240" s="466"/>
      <c r="CN240" s="198"/>
      <c r="CO240" s="198"/>
      <c r="CP240" s="198"/>
      <c r="CQ240" s="98"/>
    </row>
    <row r="241" spans="1:95" s="57" customFormat="1" ht="25.5" hidden="1" customHeight="1">
      <c r="A241" s="422"/>
      <c r="B241" s="423"/>
      <c r="C241" s="423"/>
      <c r="D241" s="420"/>
      <c r="E241" s="412"/>
      <c r="F241" s="413"/>
      <c r="G241" s="412"/>
      <c r="H241" s="412"/>
      <c r="I241" s="412"/>
      <c r="J241" s="412"/>
      <c r="K241" s="412"/>
      <c r="M241" s="196"/>
      <c r="N241" s="197"/>
      <c r="O241" s="197"/>
      <c r="P241" s="197"/>
      <c r="Q241" s="197"/>
      <c r="R241" s="197"/>
      <c r="S241" s="197"/>
      <c r="T241" s="464"/>
      <c r="U241" s="465"/>
      <c r="V241" s="465"/>
      <c r="W241" s="465"/>
      <c r="X241" s="465"/>
      <c r="Y241" s="465"/>
      <c r="Z241" s="465"/>
      <c r="AA241" s="465"/>
      <c r="AB241" s="465"/>
      <c r="AC241" s="465"/>
      <c r="AD241" s="465"/>
      <c r="AE241" s="465"/>
      <c r="AF241" s="465"/>
      <c r="AG241" s="465"/>
      <c r="AH241" s="465"/>
      <c r="AI241" s="465"/>
      <c r="AJ241" s="465"/>
      <c r="AK241" s="465"/>
      <c r="AL241" s="465"/>
      <c r="AM241" s="465"/>
      <c r="AN241" s="465"/>
      <c r="AO241" s="465"/>
      <c r="AP241" s="465"/>
      <c r="AQ241" s="466"/>
      <c r="AR241" s="464"/>
      <c r="AS241" s="465"/>
      <c r="AT241" s="465"/>
      <c r="AU241" s="465"/>
      <c r="AV241" s="465"/>
      <c r="AW241" s="465"/>
      <c r="AX241" s="465"/>
      <c r="AY241" s="465"/>
      <c r="AZ241" s="465"/>
      <c r="BA241" s="465"/>
      <c r="BB241" s="465"/>
      <c r="BC241" s="465"/>
      <c r="BD241" s="465"/>
      <c r="BE241" s="465"/>
      <c r="BF241" s="465"/>
      <c r="BG241" s="465"/>
      <c r="BH241" s="465"/>
      <c r="BI241" s="465"/>
      <c r="BJ241" s="465"/>
      <c r="BK241" s="465"/>
      <c r="BL241" s="465"/>
      <c r="BM241" s="465"/>
      <c r="BN241" s="465"/>
      <c r="BO241" s="466"/>
      <c r="BP241" s="464"/>
      <c r="BQ241" s="465"/>
      <c r="BR241" s="465"/>
      <c r="BS241" s="465"/>
      <c r="BT241" s="465"/>
      <c r="BU241" s="465"/>
      <c r="BV241" s="465"/>
      <c r="BW241" s="465"/>
      <c r="BX241" s="465"/>
      <c r="BY241" s="465"/>
      <c r="BZ241" s="465"/>
      <c r="CA241" s="465"/>
      <c r="CB241" s="465"/>
      <c r="CC241" s="465"/>
      <c r="CD241" s="465"/>
      <c r="CE241" s="465"/>
      <c r="CF241" s="465"/>
      <c r="CG241" s="465"/>
      <c r="CH241" s="465"/>
      <c r="CI241" s="465"/>
      <c r="CJ241" s="465"/>
      <c r="CK241" s="465"/>
      <c r="CL241" s="465"/>
      <c r="CM241" s="466"/>
      <c r="CN241" s="198"/>
      <c r="CO241" s="198"/>
      <c r="CP241" s="198"/>
      <c r="CQ241" s="98"/>
    </row>
    <row r="242" spans="1:95" s="57" customFormat="1" ht="18" hidden="1" customHeight="1">
      <c r="A242" s="422" t="s">
        <v>100</v>
      </c>
      <c r="B242" s="423">
        <v>2110</v>
      </c>
      <c r="C242" s="423">
        <v>111</v>
      </c>
      <c r="D242" s="420"/>
      <c r="E242" s="412">
        <f>SUM(E245:E245)</f>
        <v>0</v>
      </c>
      <c r="F242" s="413">
        <f>SUM(F245:F245)</f>
        <v>0</v>
      </c>
      <c r="G242" s="412">
        <f>SUM(G245:G245)</f>
        <v>0</v>
      </c>
      <c r="H242" s="412">
        <f>SUM(H245:H245)</f>
        <v>0</v>
      </c>
      <c r="I242" s="412">
        <f>SUM(I245:I245)</f>
        <v>0</v>
      </c>
      <c r="J242" s="412" t="s">
        <v>60</v>
      </c>
      <c r="K242" s="412" t="s">
        <v>60</v>
      </c>
      <c r="M242" s="196"/>
      <c r="N242" s="197"/>
      <c r="O242" s="197"/>
      <c r="P242" s="197"/>
      <c r="Q242" s="197"/>
      <c r="R242" s="197"/>
      <c r="S242" s="197"/>
      <c r="T242" s="464"/>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6"/>
      <c r="AR242" s="464"/>
      <c r="AS242" s="465"/>
      <c r="AT242" s="465"/>
      <c r="AU242" s="465"/>
      <c r="AV242" s="465"/>
      <c r="AW242" s="465"/>
      <c r="AX242" s="465"/>
      <c r="AY242" s="465"/>
      <c r="AZ242" s="465"/>
      <c r="BA242" s="465"/>
      <c r="BB242" s="465"/>
      <c r="BC242" s="465"/>
      <c r="BD242" s="465"/>
      <c r="BE242" s="465"/>
      <c r="BF242" s="465"/>
      <c r="BG242" s="465"/>
      <c r="BH242" s="465"/>
      <c r="BI242" s="465"/>
      <c r="BJ242" s="465"/>
      <c r="BK242" s="465"/>
      <c r="BL242" s="465"/>
      <c r="BM242" s="465"/>
      <c r="BN242" s="465"/>
      <c r="BO242" s="466"/>
      <c r="BP242" s="464"/>
      <c r="BQ242" s="465"/>
      <c r="BR242" s="465"/>
      <c r="BS242" s="465"/>
      <c r="BT242" s="465"/>
      <c r="BU242" s="465"/>
      <c r="BV242" s="465"/>
      <c r="BW242" s="465"/>
      <c r="BX242" s="465"/>
      <c r="BY242" s="465"/>
      <c r="BZ242" s="465"/>
      <c r="CA242" s="465"/>
      <c r="CB242" s="465"/>
      <c r="CC242" s="465"/>
      <c r="CD242" s="465"/>
      <c r="CE242" s="465"/>
      <c r="CF242" s="465"/>
      <c r="CG242" s="465"/>
      <c r="CH242" s="465"/>
      <c r="CI242" s="465"/>
      <c r="CJ242" s="465"/>
      <c r="CK242" s="465"/>
      <c r="CL242" s="465"/>
      <c r="CM242" s="466"/>
      <c r="CN242" s="198"/>
      <c r="CO242" s="198"/>
      <c r="CP242" s="198"/>
      <c r="CQ242" s="98"/>
    </row>
    <row r="243" spans="1:95" s="57" customFormat="1" ht="18" hidden="1" customHeight="1">
      <c r="A243" s="422"/>
      <c r="B243" s="423"/>
      <c r="C243" s="423"/>
      <c r="D243" s="420"/>
      <c r="E243" s="412"/>
      <c r="F243" s="413"/>
      <c r="G243" s="412"/>
      <c r="H243" s="412"/>
      <c r="I243" s="412"/>
      <c r="J243" s="412"/>
      <c r="K243" s="412"/>
      <c r="L243" s="111"/>
      <c r="M243" s="196"/>
      <c r="N243" s="197"/>
      <c r="O243" s="197"/>
      <c r="P243" s="197"/>
      <c r="Q243" s="197"/>
      <c r="R243" s="197"/>
      <c r="S243" s="197"/>
      <c r="T243" s="464"/>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6"/>
      <c r="AR243" s="464"/>
      <c r="AS243" s="465"/>
      <c r="AT243" s="465"/>
      <c r="AU243" s="465"/>
      <c r="AV243" s="465"/>
      <c r="AW243" s="465"/>
      <c r="AX243" s="465"/>
      <c r="AY243" s="465"/>
      <c r="AZ243" s="465"/>
      <c r="BA243" s="465"/>
      <c r="BB243" s="465"/>
      <c r="BC243" s="465"/>
      <c r="BD243" s="465"/>
      <c r="BE243" s="465"/>
      <c r="BF243" s="465"/>
      <c r="BG243" s="465"/>
      <c r="BH243" s="465"/>
      <c r="BI243" s="465"/>
      <c r="BJ243" s="465"/>
      <c r="BK243" s="465"/>
      <c r="BL243" s="465"/>
      <c r="BM243" s="465"/>
      <c r="BN243" s="465"/>
      <c r="BO243" s="466"/>
      <c r="BP243" s="464"/>
      <c r="BQ243" s="465"/>
      <c r="BR243" s="465"/>
      <c r="BS243" s="465"/>
      <c r="BT243" s="465"/>
      <c r="BU243" s="465"/>
      <c r="BV243" s="465"/>
      <c r="BW243" s="465"/>
      <c r="BX243" s="465"/>
      <c r="BY243" s="465"/>
      <c r="BZ243" s="465"/>
      <c r="CA243" s="465"/>
      <c r="CB243" s="465"/>
      <c r="CC243" s="465"/>
      <c r="CD243" s="465"/>
      <c r="CE243" s="465"/>
      <c r="CF243" s="465"/>
      <c r="CG243" s="465"/>
      <c r="CH243" s="465"/>
      <c r="CI243" s="465"/>
      <c r="CJ243" s="465"/>
      <c r="CK243" s="465"/>
      <c r="CL243" s="465"/>
      <c r="CM243" s="466"/>
      <c r="CN243" s="198"/>
      <c r="CO243" s="198"/>
      <c r="CP243" s="198"/>
      <c r="CQ243" s="98"/>
    </row>
    <row r="244" spans="1:95" s="103" customFormat="1" ht="18" hidden="1" customHeight="1">
      <c r="A244" s="130" t="s">
        <v>189</v>
      </c>
      <c r="B244" s="99"/>
      <c r="C244" s="100"/>
      <c r="D244" s="104"/>
      <c r="E244" s="101"/>
      <c r="F244" s="101"/>
      <c r="G244" s="102"/>
      <c r="H244" s="99"/>
      <c r="I244" s="99"/>
      <c r="J244" s="99"/>
      <c r="K244" s="99"/>
      <c r="L244" s="109"/>
      <c r="M244" s="196"/>
      <c r="N244" s="197"/>
      <c r="O244" s="197"/>
      <c r="P244" s="197"/>
      <c r="Q244" s="197"/>
      <c r="R244" s="197"/>
      <c r="S244" s="197"/>
      <c r="T244" s="464"/>
      <c r="U244" s="465"/>
      <c r="V244" s="465"/>
      <c r="W244" s="465"/>
      <c r="X244" s="465"/>
      <c r="Y244" s="465"/>
      <c r="Z244" s="465"/>
      <c r="AA244" s="465"/>
      <c r="AB244" s="465"/>
      <c r="AC244" s="465"/>
      <c r="AD244" s="465"/>
      <c r="AE244" s="465"/>
      <c r="AF244" s="465"/>
      <c r="AG244" s="465"/>
      <c r="AH244" s="465"/>
      <c r="AI244" s="465"/>
      <c r="AJ244" s="465"/>
      <c r="AK244" s="465"/>
      <c r="AL244" s="465"/>
      <c r="AM244" s="465"/>
      <c r="AN244" s="465"/>
      <c r="AO244" s="465"/>
      <c r="AP244" s="465"/>
      <c r="AQ244" s="466"/>
      <c r="AR244" s="464"/>
      <c r="AS244" s="465"/>
      <c r="AT244" s="465"/>
      <c r="AU244" s="465"/>
      <c r="AV244" s="465"/>
      <c r="AW244" s="465"/>
      <c r="AX244" s="465"/>
      <c r="AY244" s="465"/>
      <c r="AZ244" s="465"/>
      <c r="BA244" s="465"/>
      <c r="BB244" s="465"/>
      <c r="BC244" s="465"/>
      <c r="BD244" s="465"/>
      <c r="BE244" s="465"/>
      <c r="BF244" s="465"/>
      <c r="BG244" s="465"/>
      <c r="BH244" s="465"/>
      <c r="BI244" s="465"/>
      <c r="BJ244" s="465"/>
      <c r="BK244" s="465"/>
      <c r="BL244" s="465"/>
      <c r="BM244" s="465"/>
      <c r="BN244" s="465"/>
      <c r="BO244" s="466"/>
      <c r="BP244" s="464"/>
      <c r="BQ244" s="465"/>
      <c r="BR244" s="465"/>
      <c r="BS244" s="465"/>
      <c r="BT244" s="465"/>
      <c r="BU244" s="465"/>
      <c r="BV244" s="465"/>
      <c r="BW244" s="465"/>
      <c r="BX244" s="465"/>
      <c r="BY244" s="465"/>
      <c r="BZ244" s="465"/>
      <c r="CA244" s="465"/>
      <c r="CB244" s="465"/>
      <c r="CC244" s="465"/>
      <c r="CD244" s="465"/>
      <c r="CE244" s="465"/>
      <c r="CF244" s="465"/>
      <c r="CG244" s="465"/>
      <c r="CH244" s="465"/>
      <c r="CI244" s="465"/>
      <c r="CJ244" s="465"/>
      <c r="CK244" s="465"/>
      <c r="CL244" s="465"/>
      <c r="CM244" s="466"/>
      <c r="CN244" s="198"/>
      <c r="CO244" s="198"/>
      <c r="CP244" s="198"/>
      <c r="CQ244" s="98"/>
    </row>
    <row r="245" spans="1:95" s="107" customFormat="1" ht="18" hidden="1" customHeight="1">
      <c r="A245" s="131" t="s">
        <v>190</v>
      </c>
      <c r="B245" s="104"/>
      <c r="C245" s="105" t="s">
        <v>180</v>
      </c>
      <c r="D245" s="104">
        <v>211</v>
      </c>
      <c r="E245" s="120">
        <v>0</v>
      </c>
      <c r="F245" s="114">
        <v>0</v>
      </c>
      <c r="G245" s="113">
        <f>F245</f>
        <v>0</v>
      </c>
      <c r="H245" s="114">
        <f>G245</f>
        <v>0</v>
      </c>
      <c r="I245" s="114">
        <f>H245</f>
        <v>0</v>
      </c>
      <c r="J245" s="104" t="s">
        <v>3</v>
      </c>
      <c r="K245" s="104" t="s">
        <v>3</v>
      </c>
      <c r="L245" s="110"/>
      <c r="M245" s="196"/>
      <c r="N245" s="197"/>
      <c r="O245" s="197"/>
      <c r="P245" s="197"/>
      <c r="Q245" s="197"/>
      <c r="R245" s="197"/>
      <c r="S245" s="197"/>
      <c r="T245" s="464"/>
      <c r="U245" s="465"/>
      <c r="V245" s="465"/>
      <c r="W245" s="465"/>
      <c r="X245" s="465"/>
      <c r="Y245" s="465"/>
      <c r="Z245" s="465"/>
      <c r="AA245" s="465"/>
      <c r="AB245" s="465"/>
      <c r="AC245" s="465"/>
      <c r="AD245" s="465"/>
      <c r="AE245" s="465"/>
      <c r="AF245" s="465"/>
      <c r="AG245" s="465"/>
      <c r="AH245" s="465"/>
      <c r="AI245" s="465"/>
      <c r="AJ245" s="465"/>
      <c r="AK245" s="465"/>
      <c r="AL245" s="465"/>
      <c r="AM245" s="465"/>
      <c r="AN245" s="465"/>
      <c r="AO245" s="465"/>
      <c r="AP245" s="465"/>
      <c r="AQ245" s="466"/>
      <c r="AR245" s="464"/>
      <c r="AS245" s="465"/>
      <c r="AT245" s="465"/>
      <c r="AU245" s="465"/>
      <c r="AV245" s="465"/>
      <c r="AW245" s="465"/>
      <c r="AX245" s="465"/>
      <c r="AY245" s="465"/>
      <c r="AZ245" s="465"/>
      <c r="BA245" s="465"/>
      <c r="BB245" s="465"/>
      <c r="BC245" s="465"/>
      <c r="BD245" s="465"/>
      <c r="BE245" s="465"/>
      <c r="BF245" s="465"/>
      <c r="BG245" s="465"/>
      <c r="BH245" s="465"/>
      <c r="BI245" s="465"/>
      <c r="BJ245" s="465"/>
      <c r="BK245" s="465"/>
      <c r="BL245" s="465"/>
      <c r="BM245" s="465"/>
      <c r="BN245" s="465"/>
      <c r="BO245" s="466"/>
      <c r="BP245" s="464"/>
      <c r="BQ245" s="465"/>
      <c r="BR245" s="465"/>
      <c r="BS245" s="465"/>
      <c r="BT245" s="465"/>
      <c r="BU245" s="465"/>
      <c r="BV245" s="465"/>
      <c r="BW245" s="465"/>
      <c r="BX245" s="465"/>
      <c r="BY245" s="465"/>
      <c r="BZ245" s="465"/>
      <c r="CA245" s="465"/>
      <c r="CB245" s="465"/>
      <c r="CC245" s="465"/>
      <c r="CD245" s="465"/>
      <c r="CE245" s="465"/>
      <c r="CF245" s="465"/>
      <c r="CG245" s="465"/>
      <c r="CH245" s="465"/>
      <c r="CI245" s="465"/>
      <c r="CJ245" s="465"/>
      <c r="CK245" s="465"/>
      <c r="CL245" s="465"/>
      <c r="CM245" s="466"/>
      <c r="CN245" s="198"/>
      <c r="CO245" s="198"/>
      <c r="CP245" s="198"/>
      <c r="CQ245" s="98"/>
    </row>
    <row r="246" spans="1:95" s="57" customFormat="1" ht="87.75" hidden="1" customHeight="1">
      <c r="A246" s="80" t="s">
        <v>72</v>
      </c>
      <c r="B246" s="140">
        <v>2140</v>
      </c>
      <c r="C246" s="140">
        <v>119</v>
      </c>
      <c r="D246" s="138"/>
      <c r="E246" s="139">
        <f>E247</f>
        <v>0</v>
      </c>
      <c r="F246" s="166">
        <f t="shared" ref="F246:I246" si="146">F247</f>
        <v>0</v>
      </c>
      <c r="G246" s="139">
        <f t="shared" si="146"/>
        <v>0</v>
      </c>
      <c r="H246" s="139">
        <f t="shared" si="146"/>
        <v>0</v>
      </c>
      <c r="I246" s="139">
        <f t="shared" si="146"/>
        <v>0</v>
      </c>
      <c r="J246" s="139" t="s">
        <v>60</v>
      </c>
      <c r="K246" s="172" t="s">
        <v>60</v>
      </c>
      <c r="M246" s="196"/>
      <c r="N246" s="197"/>
      <c r="O246" s="197"/>
      <c r="P246" s="197"/>
      <c r="Q246" s="197"/>
      <c r="R246" s="197"/>
      <c r="S246" s="197"/>
      <c r="T246" s="464"/>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6"/>
      <c r="AR246" s="464"/>
      <c r="AS246" s="465"/>
      <c r="AT246" s="465"/>
      <c r="AU246" s="465"/>
      <c r="AV246" s="465"/>
      <c r="AW246" s="465"/>
      <c r="AX246" s="465"/>
      <c r="AY246" s="465"/>
      <c r="AZ246" s="465"/>
      <c r="BA246" s="465"/>
      <c r="BB246" s="465"/>
      <c r="BC246" s="465"/>
      <c r="BD246" s="465"/>
      <c r="BE246" s="465"/>
      <c r="BF246" s="465"/>
      <c r="BG246" s="465"/>
      <c r="BH246" s="465"/>
      <c r="BI246" s="465"/>
      <c r="BJ246" s="465"/>
      <c r="BK246" s="465"/>
      <c r="BL246" s="465"/>
      <c r="BM246" s="465"/>
      <c r="BN246" s="465"/>
      <c r="BO246" s="466"/>
      <c r="BP246" s="464"/>
      <c r="BQ246" s="465"/>
      <c r="BR246" s="465"/>
      <c r="BS246" s="465"/>
      <c r="BT246" s="465"/>
      <c r="BU246" s="465"/>
      <c r="BV246" s="465"/>
      <c r="BW246" s="465"/>
      <c r="BX246" s="465"/>
      <c r="BY246" s="465"/>
      <c r="BZ246" s="465"/>
      <c r="CA246" s="465"/>
      <c r="CB246" s="465"/>
      <c r="CC246" s="465"/>
      <c r="CD246" s="465"/>
      <c r="CE246" s="465"/>
      <c r="CF246" s="465"/>
      <c r="CG246" s="465"/>
      <c r="CH246" s="465"/>
      <c r="CI246" s="465"/>
      <c r="CJ246" s="465"/>
      <c r="CK246" s="465"/>
      <c r="CL246" s="465"/>
      <c r="CM246" s="466"/>
      <c r="CN246" s="198"/>
      <c r="CO246" s="198"/>
      <c r="CP246" s="198"/>
      <c r="CQ246" s="98"/>
    </row>
    <row r="247" spans="1:95" s="137" customFormat="1" ht="30" hidden="1" customHeight="1">
      <c r="A247" s="416" t="s">
        <v>101</v>
      </c>
      <c r="B247" s="420">
        <v>2141</v>
      </c>
      <c r="C247" s="420">
        <v>119</v>
      </c>
      <c r="D247" s="420"/>
      <c r="E247" s="414">
        <f>E249</f>
        <v>0</v>
      </c>
      <c r="F247" s="421">
        <f t="shared" ref="F247:I247" si="147">F249</f>
        <v>0</v>
      </c>
      <c r="G247" s="414">
        <f t="shared" si="147"/>
        <v>0</v>
      </c>
      <c r="H247" s="414">
        <f t="shared" si="147"/>
        <v>0</v>
      </c>
      <c r="I247" s="414">
        <f t="shared" si="147"/>
        <v>0</v>
      </c>
      <c r="J247" s="414" t="s">
        <v>60</v>
      </c>
      <c r="K247" s="414" t="s">
        <v>60</v>
      </c>
      <c r="M247" s="196"/>
      <c r="N247" s="197"/>
      <c r="O247" s="197"/>
      <c r="P247" s="197"/>
      <c r="Q247" s="197"/>
      <c r="R247" s="197"/>
      <c r="S247" s="197"/>
      <c r="T247" s="464"/>
      <c r="U247" s="465"/>
      <c r="V247" s="465"/>
      <c r="W247" s="465"/>
      <c r="X247" s="465"/>
      <c r="Y247" s="465"/>
      <c r="Z247" s="465"/>
      <c r="AA247" s="465"/>
      <c r="AB247" s="465"/>
      <c r="AC247" s="465"/>
      <c r="AD247" s="465"/>
      <c r="AE247" s="465"/>
      <c r="AF247" s="465"/>
      <c r="AG247" s="465"/>
      <c r="AH247" s="465"/>
      <c r="AI247" s="465"/>
      <c r="AJ247" s="465"/>
      <c r="AK247" s="465"/>
      <c r="AL247" s="465"/>
      <c r="AM247" s="465"/>
      <c r="AN247" s="465"/>
      <c r="AO247" s="465"/>
      <c r="AP247" s="465"/>
      <c r="AQ247" s="466"/>
      <c r="AR247" s="464"/>
      <c r="AS247" s="465"/>
      <c r="AT247" s="465"/>
      <c r="AU247" s="465"/>
      <c r="AV247" s="465"/>
      <c r="AW247" s="465"/>
      <c r="AX247" s="465"/>
      <c r="AY247" s="465"/>
      <c r="AZ247" s="465"/>
      <c r="BA247" s="465"/>
      <c r="BB247" s="465"/>
      <c r="BC247" s="465"/>
      <c r="BD247" s="465"/>
      <c r="BE247" s="465"/>
      <c r="BF247" s="465"/>
      <c r="BG247" s="465"/>
      <c r="BH247" s="465"/>
      <c r="BI247" s="465"/>
      <c r="BJ247" s="465"/>
      <c r="BK247" s="465"/>
      <c r="BL247" s="465"/>
      <c r="BM247" s="465"/>
      <c r="BN247" s="465"/>
      <c r="BO247" s="466"/>
      <c r="BP247" s="464"/>
      <c r="BQ247" s="465"/>
      <c r="BR247" s="465"/>
      <c r="BS247" s="465"/>
      <c r="BT247" s="465"/>
      <c r="BU247" s="465"/>
      <c r="BV247" s="465"/>
      <c r="BW247" s="465"/>
      <c r="BX247" s="465"/>
      <c r="BY247" s="465"/>
      <c r="BZ247" s="465"/>
      <c r="CA247" s="465"/>
      <c r="CB247" s="465"/>
      <c r="CC247" s="465"/>
      <c r="CD247" s="465"/>
      <c r="CE247" s="465"/>
      <c r="CF247" s="465"/>
      <c r="CG247" s="465"/>
      <c r="CH247" s="465"/>
      <c r="CI247" s="465"/>
      <c r="CJ247" s="465"/>
      <c r="CK247" s="465"/>
      <c r="CL247" s="465"/>
      <c r="CM247" s="466"/>
      <c r="CN247" s="198"/>
      <c r="CO247" s="198"/>
      <c r="CP247" s="198"/>
      <c r="CQ247" s="98"/>
    </row>
    <row r="248" spans="1:95" s="137" customFormat="1" ht="15.75" hidden="1" customHeight="1">
      <c r="A248" s="416"/>
      <c r="B248" s="420"/>
      <c r="C248" s="420"/>
      <c r="D248" s="420"/>
      <c r="E248" s="414"/>
      <c r="F248" s="421"/>
      <c r="G248" s="414"/>
      <c r="H248" s="414"/>
      <c r="I248" s="414"/>
      <c r="J248" s="414"/>
      <c r="K248" s="414"/>
      <c r="M248" s="196"/>
      <c r="N248" s="197"/>
      <c r="O248" s="197"/>
      <c r="P248" s="197"/>
      <c r="Q248" s="197"/>
      <c r="R248" s="197"/>
      <c r="S248" s="197"/>
      <c r="T248" s="464"/>
      <c r="U248" s="465"/>
      <c r="V248" s="465"/>
      <c r="W248" s="465"/>
      <c r="X248" s="465"/>
      <c r="Y248" s="465"/>
      <c r="Z248" s="465"/>
      <c r="AA248" s="465"/>
      <c r="AB248" s="465"/>
      <c r="AC248" s="465"/>
      <c r="AD248" s="465"/>
      <c r="AE248" s="465"/>
      <c r="AF248" s="465"/>
      <c r="AG248" s="465"/>
      <c r="AH248" s="465"/>
      <c r="AI248" s="465"/>
      <c r="AJ248" s="465"/>
      <c r="AK248" s="465"/>
      <c r="AL248" s="465"/>
      <c r="AM248" s="465"/>
      <c r="AN248" s="465"/>
      <c r="AO248" s="465"/>
      <c r="AP248" s="465"/>
      <c r="AQ248" s="466"/>
      <c r="AR248" s="464"/>
      <c r="AS248" s="465"/>
      <c r="AT248" s="465"/>
      <c r="AU248" s="465"/>
      <c r="AV248" s="465"/>
      <c r="AW248" s="465"/>
      <c r="AX248" s="465"/>
      <c r="AY248" s="465"/>
      <c r="AZ248" s="465"/>
      <c r="BA248" s="465"/>
      <c r="BB248" s="465"/>
      <c r="BC248" s="465"/>
      <c r="BD248" s="465"/>
      <c r="BE248" s="465"/>
      <c r="BF248" s="465"/>
      <c r="BG248" s="465"/>
      <c r="BH248" s="465"/>
      <c r="BI248" s="465"/>
      <c r="BJ248" s="465"/>
      <c r="BK248" s="465"/>
      <c r="BL248" s="465"/>
      <c r="BM248" s="465"/>
      <c r="BN248" s="465"/>
      <c r="BO248" s="466"/>
      <c r="BP248" s="464"/>
      <c r="BQ248" s="465"/>
      <c r="BR248" s="465"/>
      <c r="BS248" s="465"/>
      <c r="BT248" s="465"/>
      <c r="BU248" s="465"/>
      <c r="BV248" s="465"/>
      <c r="BW248" s="465"/>
      <c r="BX248" s="465"/>
      <c r="BY248" s="465"/>
      <c r="BZ248" s="465"/>
      <c r="CA248" s="465"/>
      <c r="CB248" s="465"/>
      <c r="CC248" s="465"/>
      <c r="CD248" s="465"/>
      <c r="CE248" s="465"/>
      <c r="CF248" s="465"/>
      <c r="CG248" s="465"/>
      <c r="CH248" s="465"/>
      <c r="CI248" s="465"/>
      <c r="CJ248" s="465"/>
      <c r="CK248" s="465"/>
      <c r="CL248" s="465"/>
      <c r="CM248" s="466"/>
      <c r="CN248" s="198"/>
      <c r="CO248" s="198"/>
      <c r="CP248" s="198"/>
      <c r="CQ248" s="98"/>
    </row>
    <row r="249" spans="1:95" s="107" customFormat="1" ht="18" hidden="1" customHeight="1">
      <c r="A249" s="131" t="s">
        <v>191</v>
      </c>
      <c r="B249" s="104"/>
      <c r="C249" s="105" t="s">
        <v>180</v>
      </c>
      <c r="D249" s="104">
        <v>213</v>
      </c>
      <c r="E249" s="114">
        <v>0</v>
      </c>
      <c r="F249" s="114">
        <v>0</v>
      </c>
      <c r="G249" s="113">
        <v>0</v>
      </c>
      <c r="H249" s="114">
        <f>G249</f>
        <v>0</v>
      </c>
      <c r="I249" s="114">
        <f>H249</f>
        <v>0</v>
      </c>
      <c r="J249" s="104" t="s">
        <v>3</v>
      </c>
      <c r="K249" s="104" t="s">
        <v>3</v>
      </c>
      <c r="L249" s="110"/>
      <c r="M249" s="196"/>
      <c r="N249" s="197"/>
      <c r="O249" s="197"/>
      <c r="P249" s="197"/>
      <c r="Q249" s="197"/>
      <c r="R249" s="197"/>
      <c r="S249" s="197"/>
      <c r="T249" s="464"/>
      <c r="U249" s="465"/>
      <c r="V249" s="465"/>
      <c r="W249" s="465"/>
      <c r="X249" s="465"/>
      <c r="Y249" s="465"/>
      <c r="Z249" s="465"/>
      <c r="AA249" s="465"/>
      <c r="AB249" s="465"/>
      <c r="AC249" s="465"/>
      <c r="AD249" s="465"/>
      <c r="AE249" s="465"/>
      <c r="AF249" s="465"/>
      <c r="AG249" s="465"/>
      <c r="AH249" s="465"/>
      <c r="AI249" s="465"/>
      <c r="AJ249" s="465"/>
      <c r="AK249" s="465"/>
      <c r="AL249" s="465"/>
      <c r="AM249" s="465"/>
      <c r="AN249" s="465"/>
      <c r="AO249" s="465"/>
      <c r="AP249" s="465"/>
      <c r="AQ249" s="466"/>
      <c r="AR249" s="464"/>
      <c r="AS249" s="465"/>
      <c r="AT249" s="465"/>
      <c r="AU249" s="465"/>
      <c r="AV249" s="465"/>
      <c r="AW249" s="465"/>
      <c r="AX249" s="465"/>
      <c r="AY249" s="465"/>
      <c r="AZ249" s="465"/>
      <c r="BA249" s="465"/>
      <c r="BB249" s="465"/>
      <c r="BC249" s="465"/>
      <c r="BD249" s="465"/>
      <c r="BE249" s="465"/>
      <c r="BF249" s="465"/>
      <c r="BG249" s="465"/>
      <c r="BH249" s="465"/>
      <c r="BI249" s="465"/>
      <c r="BJ249" s="465"/>
      <c r="BK249" s="465"/>
      <c r="BL249" s="465"/>
      <c r="BM249" s="465"/>
      <c r="BN249" s="465"/>
      <c r="BO249" s="466"/>
      <c r="BP249" s="464"/>
      <c r="BQ249" s="465"/>
      <c r="BR249" s="465"/>
      <c r="BS249" s="465"/>
      <c r="BT249" s="465"/>
      <c r="BU249" s="465"/>
      <c r="BV249" s="465"/>
      <c r="BW249" s="465"/>
      <c r="BX249" s="465"/>
      <c r="BY249" s="465"/>
      <c r="BZ249" s="465"/>
      <c r="CA249" s="465"/>
      <c r="CB249" s="465"/>
      <c r="CC249" s="465"/>
      <c r="CD249" s="465"/>
      <c r="CE249" s="465"/>
      <c r="CF249" s="465"/>
      <c r="CG249" s="465"/>
      <c r="CH249" s="465"/>
      <c r="CI249" s="465"/>
      <c r="CJ249" s="465"/>
      <c r="CK249" s="465"/>
      <c r="CL249" s="465"/>
      <c r="CM249" s="466"/>
      <c r="CN249" s="198"/>
      <c r="CO249" s="198"/>
      <c r="CP249" s="198"/>
      <c r="CQ249" s="98"/>
    </row>
    <row r="250" spans="1:95" s="119" customFormat="1" ht="30" hidden="1" customHeight="1">
      <c r="A250" s="129" t="s">
        <v>61</v>
      </c>
      <c r="B250" s="429" t="s">
        <v>226</v>
      </c>
      <c r="C250" s="429"/>
      <c r="D250" s="429"/>
      <c r="E250" s="117">
        <f>E251</f>
        <v>0</v>
      </c>
      <c r="F250" s="164">
        <f t="shared" ref="F250" si="148">F251</f>
        <v>0</v>
      </c>
      <c r="G250" s="117">
        <f t="shared" ref="G250" si="149">G251</f>
        <v>0</v>
      </c>
      <c r="H250" s="117">
        <f t="shared" ref="H250" si="150">H251</f>
        <v>0</v>
      </c>
      <c r="I250" s="117">
        <f t="shared" ref="I250" si="151">I251</f>
        <v>0</v>
      </c>
      <c r="J250" s="117" t="s">
        <v>3</v>
      </c>
      <c r="K250" s="117" t="s">
        <v>3</v>
      </c>
      <c r="L250" s="118"/>
      <c r="M250" s="196"/>
      <c r="N250" s="197"/>
      <c r="O250" s="197"/>
      <c r="P250" s="197"/>
      <c r="Q250" s="197"/>
      <c r="R250" s="197"/>
      <c r="S250" s="197"/>
      <c r="T250" s="464"/>
      <c r="U250" s="465"/>
      <c r="V250" s="465"/>
      <c r="W250" s="465"/>
      <c r="X250" s="465"/>
      <c r="Y250" s="465"/>
      <c r="Z250" s="465"/>
      <c r="AA250" s="465"/>
      <c r="AB250" s="465"/>
      <c r="AC250" s="465"/>
      <c r="AD250" s="465"/>
      <c r="AE250" s="465"/>
      <c r="AF250" s="465"/>
      <c r="AG250" s="465"/>
      <c r="AH250" s="465"/>
      <c r="AI250" s="465"/>
      <c r="AJ250" s="465"/>
      <c r="AK250" s="465"/>
      <c r="AL250" s="465"/>
      <c r="AM250" s="465"/>
      <c r="AN250" s="465"/>
      <c r="AO250" s="465"/>
      <c r="AP250" s="465"/>
      <c r="AQ250" s="466"/>
      <c r="AR250" s="464"/>
      <c r="AS250" s="465"/>
      <c r="AT250" s="465"/>
      <c r="AU250" s="465"/>
      <c r="AV250" s="465"/>
      <c r="AW250" s="465"/>
      <c r="AX250" s="465"/>
      <c r="AY250" s="465"/>
      <c r="AZ250" s="465"/>
      <c r="BA250" s="465"/>
      <c r="BB250" s="465"/>
      <c r="BC250" s="465"/>
      <c r="BD250" s="465"/>
      <c r="BE250" s="465"/>
      <c r="BF250" s="465"/>
      <c r="BG250" s="465"/>
      <c r="BH250" s="465"/>
      <c r="BI250" s="465"/>
      <c r="BJ250" s="465"/>
      <c r="BK250" s="465"/>
      <c r="BL250" s="465"/>
      <c r="BM250" s="465"/>
      <c r="BN250" s="465"/>
      <c r="BO250" s="466"/>
      <c r="BP250" s="464"/>
      <c r="BQ250" s="465"/>
      <c r="BR250" s="465"/>
      <c r="BS250" s="465"/>
      <c r="BT250" s="465"/>
      <c r="BU250" s="465"/>
      <c r="BV250" s="465"/>
      <c r="BW250" s="465"/>
      <c r="BX250" s="465"/>
      <c r="BY250" s="465"/>
      <c r="BZ250" s="465"/>
      <c r="CA250" s="465"/>
      <c r="CB250" s="465"/>
      <c r="CC250" s="465"/>
      <c r="CD250" s="465"/>
      <c r="CE250" s="465"/>
      <c r="CF250" s="465"/>
      <c r="CG250" s="465"/>
      <c r="CH250" s="465"/>
      <c r="CI250" s="465"/>
      <c r="CJ250" s="465"/>
      <c r="CK250" s="465"/>
      <c r="CL250" s="465"/>
      <c r="CM250" s="466"/>
      <c r="CN250" s="198"/>
      <c r="CO250" s="198"/>
      <c r="CP250" s="198"/>
      <c r="CQ250" s="98"/>
    </row>
    <row r="251" spans="1:95" s="57" customFormat="1" ht="26.25" hidden="1" customHeight="1">
      <c r="A251" s="422" t="s">
        <v>99</v>
      </c>
      <c r="B251" s="423">
        <v>2100</v>
      </c>
      <c r="C251" s="423" t="s">
        <v>60</v>
      </c>
      <c r="D251" s="420"/>
      <c r="E251" s="412">
        <f>E253+E257</f>
        <v>0</v>
      </c>
      <c r="F251" s="413">
        <f t="shared" ref="F251:I251" si="152">F253+F257</f>
        <v>0</v>
      </c>
      <c r="G251" s="412">
        <f t="shared" si="152"/>
        <v>0</v>
      </c>
      <c r="H251" s="412">
        <f t="shared" si="152"/>
        <v>0</v>
      </c>
      <c r="I251" s="412">
        <f t="shared" si="152"/>
        <v>0</v>
      </c>
      <c r="J251" s="412" t="s">
        <v>60</v>
      </c>
      <c r="K251" s="412" t="s">
        <v>60</v>
      </c>
      <c r="M251" s="196"/>
      <c r="N251" s="197"/>
      <c r="O251" s="197"/>
      <c r="P251" s="197"/>
      <c r="Q251" s="197"/>
      <c r="R251" s="197"/>
      <c r="S251" s="197"/>
      <c r="T251" s="464"/>
      <c r="U251" s="465"/>
      <c r="V251" s="465"/>
      <c r="W251" s="465"/>
      <c r="X251" s="465"/>
      <c r="Y251" s="465"/>
      <c r="Z251" s="465"/>
      <c r="AA251" s="465"/>
      <c r="AB251" s="465"/>
      <c r="AC251" s="465"/>
      <c r="AD251" s="465"/>
      <c r="AE251" s="465"/>
      <c r="AF251" s="465"/>
      <c r="AG251" s="465"/>
      <c r="AH251" s="465"/>
      <c r="AI251" s="465"/>
      <c r="AJ251" s="465"/>
      <c r="AK251" s="465"/>
      <c r="AL251" s="465"/>
      <c r="AM251" s="465"/>
      <c r="AN251" s="465"/>
      <c r="AO251" s="465"/>
      <c r="AP251" s="465"/>
      <c r="AQ251" s="466"/>
      <c r="AR251" s="464"/>
      <c r="AS251" s="465"/>
      <c r="AT251" s="465"/>
      <c r="AU251" s="465"/>
      <c r="AV251" s="465"/>
      <c r="AW251" s="465"/>
      <c r="AX251" s="465"/>
      <c r="AY251" s="465"/>
      <c r="AZ251" s="465"/>
      <c r="BA251" s="465"/>
      <c r="BB251" s="465"/>
      <c r="BC251" s="465"/>
      <c r="BD251" s="465"/>
      <c r="BE251" s="465"/>
      <c r="BF251" s="465"/>
      <c r="BG251" s="465"/>
      <c r="BH251" s="465"/>
      <c r="BI251" s="465"/>
      <c r="BJ251" s="465"/>
      <c r="BK251" s="465"/>
      <c r="BL251" s="465"/>
      <c r="BM251" s="465"/>
      <c r="BN251" s="465"/>
      <c r="BO251" s="466"/>
      <c r="BP251" s="464"/>
      <c r="BQ251" s="465"/>
      <c r="BR251" s="465"/>
      <c r="BS251" s="465"/>
      <c r="BT251" s="465"/>
      <c r="BU251" s="465"/>
      <c r="BV251" s="465"/>
      <c r="BW251" s="465"/>
      <c r="BX251" s="465"/>
      <c r="BY251" s="465"/>
      <c r="BZ251" s="465"/>
      <c r="CA251" s="465"/>
      <c r="CB251" s="465"/>
      <c r="CC251" s="465"/>
      <c r="CD251" s="465"/>
      <c r="CE251" s="465"/>
      <c r="CF251" s="465"/>
      <c r="CG251" s="465"/>
      <c r="CH251" s="465"/>
      <c r="CI251" s="465"/>
      <c r="CJ251" s="465"/>
      <c r="CK251" s="465"/>
      <c r="CL251" s="465"/>
      <c r="CM251" s="466"/>
      <c r="CN251" s="198"/>
      <c r="CO251" s="198"/>
      <c r="CP251" s="198"/>
      <c r="CQ251" s="98"/>
    </row>
    <row r="252" spans="1:95" s="57" customFormat="1" ht="25.5" hidden="1" customHeight="1">
      <c r="A252" s="422"/>
      <c r="B252" s="423"/>
      <c r="C252" s="423"/>
      <c r="D252" s="420"/>
      <c r="E252" s="412"/>
      <c r="F252" s="413"/>
      <c r="G252" s="412"/>
      <c r="H252" s="412"/>
      <c r="I252" s="412"/>
      <c r="J252" s="412"/>
      <c r="K252" s="412"/>
      <c r="M252" s="196"/>
      <c r="N252" s="197"/>
      <c r="O252" s="197"/>
      <c r="P252" s="197"/>
      <c r="Q252" s="197"/>
      <c r="R252" s="197"/>
      <c r="S252" s="197"/>
      <c r="T252" s="464"/>
      <c r="U252" s="465"/>
      <c r="V252" s="465"/>
      <c r="W252" s="465"/>
      <c r="X252" s="465"/>
      <c r="Y252" s="465"/>
      <c r="Z252" s="465"/>
      <c r="AA252" s="465"/>
      <c r="AB252" s="465"/>
      <c r="AC252" s="465"/>
      <c r="AD252" s="465"/>
      <c r="AE252" s="465"/>
      <c r="AF252" s="465"/>
      <c r="AG252" s="465"/>
      <c r="AH252" s="465"/>
      <c r="AI252" s="465"/>
      <c r="AJ252" s="465"/>
      <c r="AK252" s="465"/>
      <c r="AL252" s="465"/>
      <c r="AM252" s="465"/>
      <c r="AN252" s="465"/>
      <c r="AO252" s="465"/>
      <c r="AP252" s="465"/>
      <c r="AQ252" s="466"/>
      <c r="AR252" s="464"/>
      <c r="AS252" s="465"/>
      <c r="AT252" s="465"/>
      <c r="AU252" s="465"/>
      <c r="AV252" s="465"/>
      <c r="AW252" s="465"/>
      <c r="AX252" s="465"/>
      <c r="AY252" s="465"/>
      <c r="AZ252" s="465"/>
      <c r="BA252" s="465"/>
      <c r="BB252" s="465"/>
      <c r="BC252" s="465"/>
      <c r="BD252" s="465"/>
      <c r="BE252" s="465"/>
      <c r="BF252" s="465"/>
      <c r="BG252" s="465"/>
      <c r="BH252" s="465"/>
      <c r="BI252" s="465"/>
      <c r="BJ252" s="465"/>
      <c r="BK252" s="465"/>
      <c r="BL252" s="465"/>
      <c r="BM252" s="465"/>
      <c r="BN252" s="465"/>
      <c r="BO252" s="466"/>
      <c r="BP252" s="464"/>
      <c r="BQ252" s="465"/>
      <c r="BR252" s="465"/>
      <c r="BS252" s="465"/>
      <c r="BT252" s="465"/>
      <c r="BU252" s="465"/>
      <c r="BV252" s="465"/>
      <c r="BW252" s="465"/>
      <c r="BX252" s="465"/>
      <c r="BY252" s="465"/>
      <c r="BZ252" s="465"/>
      <c r="CA252" s="465"/>
      <c r="CB252" s="465"/>
      <c r="CC252" s="465"/>
      <c r="CD252" s="465"/>
      <c r="CE252" s="465"/>
      <c r="CF252" s="465"/>
      <c r="CG252" s="465"/>
      <c r="CH252" s="465"/>
      <c r="CI252" s="465"/>
      <c r="CJ252" s="465"/>
      <c r="CK252" s="465"/>
      <c r="CL252" s="465"/>
      <c r="CM252" s="466"/>
      <c r="CN252" s="198"/>
      <c r="CO252" s="198"/>
      <c r="CP252" s="198"/>
      <c r="CQ252" s="98"/>
    </row>
    <row r="253" spans="1:95" s="57" customFormat="1" ht="18" hidden="1" customHeight="1">
      <c r="A253" s="422" t="s">
        <v>100</v>
      </c>
      <c r="B253" s="423">
        <v>2110</v>
      </c>
      <c r="C253" s="423">
        <v>111</v>
      </c>
      <c r="D253" s="420"/>
      <c r="E253" s="412">
        <f>SUM(E256:E256)</f>
        <v>0</v>
      </c>
      <c r="F253" s="413">
        <f>SUM(F256:F256)</f>
        <v>0</v>
      </c>
      <c r="G253" s="412">
        <f>SUM(G256:G256)</f>
        <v>0</v>
      </c>
      <c r="H253" s="412">
        <f>SUM(H256:H256)</f>
        <v>0</v>
      </c>
      <c r="I253" s="412">
        <f>SUM(I256:I256)</f>
        <v>0</v>
      </c>
      <c r="J253" s="412" t="s">
        <v>60</v>
      </c>
      <c r="K253" s="412" t="s">
        <v>60</v>
      </c>
      <c r="M253" s="196"/>
      <c r="N253" s="197"/>
      <c r="O253" s="197"/>
      <c r="P253" s="197"/>
      <c r="Q253" s="197"/>
      <c r="R253" s="197"/>
      <c r="S253" s="197"/>
      <c r="T253" s="464"/>
      <c r="U253" s="465"/>
      <c r="V253" s="465"/>
      <c r="W253" s="465"/>
      <c r="X253" s="465"/>
      <c r="Y253" s="465"/>
      <c r="Z253" s="465"/>
      <c r="AA253" s="465"/>
      <c r="AB253" s="465"/>
      <c r="AC253" s="465"/>
      <c r="AD253" s="465"/>
      <c r="AE253" s="465"/>
      <c r="AF253" s="465"/>
      <c r="AG253" s="465"/>
      <c r="AH253" s="465"/>
      <c r="AI253" s="465"/>
      <c r="AJ253" s="465"/>
      <c r="AK253" s="465"/>
      <c r="AL253" s="465"/>
      <c r="AM253" s="465"/>
      <c r="AN253" s="465"/>
      <c r="AO253" s="465"/>
      <c r="AP253" s="465"/>
      <c r="AQ253" s="466"/>
      <c r="AR253" s="464"/>
      <c r="AS253" s="465"/>
      <c r="AT253" s="465"/>
      <c r="AU253" s="465"/>
      <c r="AV253" s="465"/>
      <c r="AW253" s="465"/>
      <c r="AX253" s="465"/>
      <c r="AY253" s="465"/>
      <c r="AZ253" s="465"/>
      <c r="BA253" s="465"/>
      <c r="BB253" s="465"/>
      <c r="BC253" s="465"/>
      <c r="BD253" s="465"/>
      <c r="BE253" s="465"/>
      <c r="BF253" s="465"/>
      <c r="BG253" s="465"/>
      <c r="BH253" s="465"/>
      <c r="BI253" s="465"/>
      <c r="BJ253" s="465"/>
      <c r="BK253" s="465"/>
      <c r="BL253" s="465"/>
      <c r="BM253" s="465"/>
      <c r="BN253" s="465"/>
      <c r="BO253" s="466"/>
      <c r="BP253" s="464"/>
      <c r="BQ253" s="465"/>
      <c r="BR253" s="465"/>
      <c r="BS253" s="465"/>
      <c r="BT253" s="465"/>
      <c r="BU253" s="465"/>
      <c r="BV253" s="465"/>
      <c r="BW253" s="465"/>
      <c r="BX253" s="465"/>
      <c r="BY253" s="465"/>
      <c r="BZ253" s="465"/>
      <c r="CA253" s="465"/>
      <c r="CB253" s="465"/>
      <c r="CC253" s="465"/>
      <c r="CD253" s="465"/>
      <c r="CE253" s="465"/>
      <c r="CF253" s="465"/>
      <c r="CG253" s="465"/>
      <c r="CH253" s="465"/>
      <c r="CI253" s="465"/>
      <c r="CJ253" s="465"/>
      <c r="CK253" s="465"/>
      <c r="CL253" s="465"/>
      <c r="CM253" s="466"/>
      <c r="CN253" s="198"/>
      <c r="CO253" s="198"/>
      <c r="CP253" s="198"/>
      <c r="CQ253" s="98"/>
    </row>
    <row r="254" spans="1:95" s="57" customFormat="1" ht="18" hidden="1" customHeight="1">
      <c r="A254" s="422"/>
      <c r="B254" s="423"/>
      <c r="C254" s="423"/>
      <c r="D254" s="420"/>
      <c r="E254" s="412"/>
      <c r="F254" s="413"/>
      <c r="G254" s="412"/>
      <c r="H254" s="412"/>
      <c r="I254" s="412"/>
      <c r="J254" s="412"/>
      <c r="K254" s="412"/>
      <c r="L254" s="111"/>
      <c r="M254" s="196"/>
      <c r="N254" s="197"/>
      <c r="O254" s="197"/>
      <c r="P254" s="197"/>
      <c r="Q254" s="197"/>
      <c r="R254" s="197"/>
      <c r="S254" s="197"/>
      <c r="T254" s="464"/>
      <c r="U254" s="465"/>
      <c r="V254" s="465"/>
      <c r="W254" s="465"/>
      <c r="X254" s="465"/>
      <c r="Y254" s="465"/>
      <c r="Z254" s="465"/>
      <c r="AA254" s="465"/>
      <c r="AB254" s="465"/>
      <c r="AC254" s="465"/>
      <c r="AD254" s="465"/>
      <c r="AE254" s="465"/>
      <c r="AF254" s="465"/>
      <c r="AG254" s="465"/>
      <c r="AH254" s="465"/>
      <c r="AI254" s="465"/>
      <c r="AJ254" s="465"/>
      <c r="AK254" s="465"/>
      <c r="AL254" s="465"/>
      <c r="AM254" s="465"/>
      <c r="AN254" s="465"/>
      <c r="AO254" s="465"/>
      <c r="AP254" s="465"/>
      <c r="AQ254" s="466"/>
      <c r="AR254" s="464"/>
      <c r="AS254" s="465"/>
      <c r="AT254" s="465"/>
      <c r="AU254" s="465"/>
      <c r="AV254" s="465"/>
      <c r="AW254" s="465"/>
      <c r="AX254" s="465"/>
      <c r="AY254" s="465"/>
      <c r="AZ254" s="465"/>
      <c r="BA254" s="465"/>
      <c r="BB254" s="465"/>
      <c r="BC254" s="465"/>
      <c r="BD254" s="465"/>
      <c r="BE254" s="465"/>
      <c r="BF254" s="465"/>
      <c r="BG254" s="465"/>
      <c r="BH254" s="465"/>
      <c r="BI254" s="465"/>
      <c r="BJ254" s="465"/>
      <c r="BK254" s="465"/>
      <c r="BL254" s="465"/>
      <c r="BM254" s="465"/>
      <c r="BN254" s="465"/>
      <c r="BO254" s="466"/>
      <c r="BP254" s="464"/>
      <c r="BQ254" s="465"/>
      <c r="BR254" s="465"/>
      <c r="BS254" s="465"/>
      <c r="BT254" s="465"/>
      <c r="BU254" s="465"/>
      <c r="BV254" s="465"/>
      <c r="BW254" s="465"/>
      <c r="BX254" s="465"/>
      <c r="BY254" s="465"/>
      <c r="BZ254" s="465"/>
      <c r="CA254" s="465"/>
      <c r="CB254" s="465"/>
      <c r="CC254" s="465"/>
      <c r="CD254" s="465"/>
      <c r="CE254" s="465"/>
      <c r="CF254" s="465"/>
      <c r="CG254" s="465"/>
      <c r="CH254" s="465"/>
      <c r="CI254" s="465"/>
      <c r="CJ254" s="465"/>
      <c r="CK254" s="465"/>
      <c r="CL254" s="465"/>
      <c r="CM254" s="466"/>
      <c r="CN254" s="198"/>
      <c r="CO254" s="198"/>
      <c r="CP254" s="198"/>
      <c r="CQ254" s="98"/>
    </row>
    <row r="255" spans="1:95" s="103" customFormat="1" ht="18" hidden="1" customHeight="1">
      <c r="A255" s="130" t="s">
        <v>189</v>
      </c>
      <c r="B255" s="99"/>
      <c r="C255" s="100"/>
      <c r="D255" s="104"/>
      <c r="E255" s="101"/>
      <c r="F255" s="101"/>
      <c r="G255" s="102"/>
      <c r="H255" s="99"/>
      <c r="I255" s="99"/>
      <c r="J255" s="99"/>
      <c r="K255" s="99"/>
      <c r="L255" s="109"/>
      <c r="M255" s="196"/>
      <c r="N255" s="197"/>
      <c r="O255" s="197"/>
      <c r="P255" s="197"/>
      <c r="Q255" s="197"/>
      <c r="R255" s="197"/>
      <c r="S255" s="197"/>
      <c r="T255" s="464"/>
      <c r="U255" s="465"/>
      <c r="V255" s="465"/>
      <c r="W255" s="465"/>
      <c r="X255" s="465"/>
      <c r="Y255" s="465"/>
      <c r="Z255" s="465"/>
      <c r="AA255" s="465"/>
      <c r="AB255" s="465"/>
      <c r="AC255" s="465"/>
      <c r="AD255" s="465"/>
      <c r="AE255" s="465"/>
      <c r="AF255" s="465"/>
      <c r="AG255" s="465"/>
      <c r="AH255" s="465"/>
      <c r="AI255" s="465"/>
      <c r="AJ255" s="465"/>
      <c r="AK255" s="465"/>
      <c r="AL255" s="465"/>
      <c r="AM255" s="465"/>
      <c r="AN255" s="465"/>
      <c r="AO255" s="465"/>
      <c r="AP255" s="465"/>
      <c r="AQ255" s="466"/>
      <c r="AR255" s="464"/>
      <c r="AS255" s="465"/>
      <c r="AT255" s="465"/>
      <c r="AU255" s="465"/>
      <c r="AV255" s="465"/>
      <c r="AW255" s="465"/>
      <c r="AX255" s="465"/>
      <c r="AY255" s="465"/>
      <c r="AZ255" s="465"/>
      <c r="BA255" s="465"/>
      <c r="BB255" s="465"/>
      <c r="BC255" s="465"/>
      <c r="BD255" s="465"/>
      <c r="BE255" s="465"/>
      <c r="BF255" s="465"/>
      <c r="BG255" s="465"/>
      <c r="BH255" s="465"/>
      <c r="BI255" s="465"/>
      <c r="BJ255" s="465"/>
      <c r="BK255" s="465"/>
      <c r="BL255" s="465"/>
      <c r="BM255" s="465"/>
      <c r="BN255" s="465"/>
      <c r="BO255" s="466"/>
      <c r="BP255" s="464"/>
      <c r="BQ255" s="465"/>
      <c r="BR255" s="465"/>
      <c r="BS255" s="465"/>
      <c r="BT255" s="465"/>
      <c r="BU255" s="465"/>
      <c r="BV255" s="465"/>
      <c r="BW255" s="465"/>
      <c r="BX255" s="465"/>
      <c r="BY255" s="465"/>
      <c r="BZ255" s="465"/>
      <c r="CA255" s="465"/>
      <c r="CB255" s="465"/>
      <c r="CC255" s="465"/>
      <c r="CD255" s="465"/>
      <c r="CE255" s="465"/>
      <c r="CF255" s="465"/>
      <c r="CG255" s="465"/>
      <c r="CH255" s="465"/>
      <c r="CI255" s="465"/>
      <c r="CJ255" s="465"/>
      <c r="CK255" s="465"/>
      <c r="CL255" s="465"/>
      <c r="CM255" s="466"/>
      <c r="CN255" s="198"/>
      <c r="CO255" s="198"/>
      <c r="CP255" s="198"/>
      <c r="CQ255" s="98"/>
    </row>
    <row r="256" spans="1:95" s="107" customFormat="1" ht="18" hidden="1" customHeight="1">
      <c r="A256" s="131" t="s">
        <v>190</v>
      </c>
      <c r="B256" s="104"/>
      <c r="C256" s="105" t="s">
        <v>180</v>
      </c>
      <c r="D256" s="104">
        <v>211</v>
      </c>
      <c r="E256" s="120">
        <v>0</v>
      </c>
      <c r="F256" s="114">
        <v>0</v>
      </c>
      <c r="G256" s="113">
        <v>0</v>
      </c>
      <c r="H256" s="114">
        <f>G256</f>
        <v>0</v>
      </c>
      <c r="I256" s="114">
        <f>H256</f>
        <v>0</v>
      </c>
      <c r="J256" s="104" t="s">
        <v>3</v>
      </c>
      <c r="K256" s="104" t="s">
        <v>3</v>
      </c>
      <c r="L256" s="110"/>
      <c r="M256" s="196"/>
      <c r="N256" s="197"/>
      <c r="O256" s="197"/>
      <c r="P256" s="197"/>
      <c r="Q256" s="197"/>
      <c r="R256" s="197"/>
      <c r="S256" s="197"/>
      <c r="T256" s="464"/>
      <c r="U256" s="465"/>
      <c r="V256" s="465"/>
      <c r="W256" s="465"/>
      <c r="X256" s="465"/>
      <c r="Y256" s="465"/>
      <c r="Z256" s="465"/>
      <c r="AA256" s="465"/>
      <c r="AB256" s="465"/>
      <c r="AC256" s="465"/>
      <c r="AD256" s="465"/>
      <c r="AE256" s="465"/>
      <c r="AF256" s="465"/>
      <c r="AG256" s="465"/>
      <c r="AH256" s="465"/>
      <c r="AI256" s="465"/>
      <c r="AJ256" s="465"/>
      <c r="AK256" s="465"/>
      <c r="AL256" s="465"/>
      <c r="AM256" s="465"/>
      <c r="AN256" s="465"/>
      <c r="AO256" s="465"/>
      <c r="AP256" s="465"/>
      <c r="AQ256" s="466"/>
      <c r="AR256" s="464"/>
      <c r="AS256" s="465"/>
      <c r="AT256" s="465"/>
      <c r="AU256" s="465"/>
      <c r="AV256" s="465"/>
      <c r="AW256" s="465"/>
      <c r="AX256" s="465"/>
      <c r="AY256" s="465"/>
      <c r="AZ256" s="465"/>
      <c r="BA256" s="465"/>
      <c r="BB256" s="465"/>
      <c r="BC256" s="465"/>
      <c r="BD256" s="465"/>
      <c r="BE256" s="465"/>
      <c r="BF256" s="465"/>
      <c r="BG256" s="465"/>
      <c r="BH256" s="465"/>
      <c r="BI256" s="465"/>
      <c r="BJ256" s="465"/>
      <c r="BK256" s="465"/>
      <c r="BL256" s="465"/>
      <c r="BM256" s="465"/>
      <c r="BN256" s="465"/>
      <c r="BO256" s="466"/>
      <c r="BP256" s="464"/>
      <c r="BQ256" s="465"/>
      <c r="BR256" s="465"/>
      <c r="BS256" s="465"/>
      <c r="BT256" s="465"/>
      <c r="BU256" s="465"/>
      <c r="BV256" s="465"/>
      <c r="BW256" s="465"/>
      <c r="BX256" s="465"/>
      <c r="BY256" s="465"/>
      <c r="BZ256" s="465"/>
      <c r="CA256" s="465"/>
      <c r="CB256" s="465"/>
      <c r="CC256" s="465"/>
      <c r="CD256" s="465"/>
      <c r="CE256" s="465"/>
      <c r="CF256" s="465"/>
      <c r="CG256" s="465"/>
      <c r="CH256" s="465"/>
      <c r="CI256" s="465"/>
      <c r="CJ256" s="465"/>
      <c r="CK256" s="465"/>
      <c r="CL256" s="465"/>
      <c r="CM256" s="466"/>
      <c r="CN256" s="198"/>
      <c r="CO256" s="198"/>
      <c r="CP256" s="198"/>
      <c r="CQ256" s="98"/>
    </row>
    <row r="257" spans="1:95" s="57" customFormat="1" ht="87.75" hidden="1" customHeight="1">
      <c r="A257" s="80" t="s">
        <v>72</v>
      </c>
      <c r="B257" s="79">
        <v>2140</v>
      </c>
      <c r="C257" s="79">
        <v>119</v>
      </c>
      <c r="D257" s="76"/>
      <c r="E257" s="81">
        <f>E258</f>
        <v>0</v>
      </c>
      <c r="F257" s="166">
        <f t="shared" ref="F257" si="153">F258</f>
        <v>0</v>
      </c>
      <c r="G257" s="81">
        <f t="shared" ref="G257" si="154">G258</f>
        <v>0</v>
      </c>
      <c r="H257" s="81">
        <f t="shared" ref="H257" si="155">H258</f>
        <v>0</v>
      </c>
      <c r="I257" s="81">
        <f t="shared" ref="I257" si="156">I258</f>
        <v>0</v>
      </c>
      <c r="J257" s="81" t="s">
        <v>60</v>
      </c>
      <c r="K257" s="172" t="s">
        <v>60</v>
      </c>
      <c r="M257" s="196"/>
      <c r="N257" s="197"/>
      <c r="O257" s="197"/>
      <c r="P257" s="197"/>
      <c r="Q257" s="197"/>
      <c r="R257" s="197"/>
      <c r="S257" s="197"/>
      <c r="T257" s="464"/>
      <c r="U257" s="465"/>
      <c r="V257" s="465"/>
      <c r="W257" s="465"/>
      <c r="X257" s="465"/>
      <c r="Y257" s="465"/>
      <c r="Z257" s="465"/>
      <c r="AA257" s="465"/>
      <c r="AB257" s="465"/>
      <c r="AC257" s="465"/>
      <c r="AD257" s="465"/>
      <c r="AE257" s="465"/>
      <c r="AF257" s="465"/>
      <c r="AG257" s="465"/>
      <c r="AH257" s="465"/>
      <c r="AI257" s="465"/>
      <c r="AJ257" s="465"/>
      <c r="AK257" s="465"/>
      <c r="AL257" s="465"/>
      <c r="AM257" s="465"/>
      <c r="AN257" s="465"/>
      <c r="AO257" s="465"/>
      <c r="AP257" s="465"/>
      <c r="AQ257" s="466"/>
      <c r="AR257" s="464"/>
      <c r="AS257" s="465"/>
      <c r="AT257" s="465"/>
      <c r="AU257" s="465"/>
      <c r="AV257" s="465"/>
      <c r="AW257" s="465"/>
      <c r="AX257" s="465"/>
      <c r="AY257" s="465"/>
      <c r="AZ257" s="465"/>
      <c r="BA257" s="465"/>
      <c r="BB257" s="465"/>
      <c r="BC257" s="465"/>
      <c r="BD257" s="465"/>
      <c r="BE257" s="465"/>
      <c r="BF257" s="465"/>
      <c r="BG257" s="465"/>
      <c r="BH257" s="465"/>
      <c r="BI257" s="465"/>
      <c r="BJ257" s="465"/>
      <c r="BK257" s="465"/>
      <c r="BL257" s="465"/>
      <c r="BM257" s="465"/>
      <c r="BN257" s="465"/>
      <c r="BO257" s="466"/>
      <c r="BP257" s="464"/>
      <c r="BQ257" s="465"/>
      <c r="BR257" s="465"/>
      <c r="BS257" s="465"/>
      <c r="BT257" s="465"/>
      <c r="BU257" s="465"/>
      <c r="BV257" s="465"/>
      <c r="BW257" s="465"/>
      <c r="BX257" s="465"/>
      <c r="BY257" s="465"/>
      <c r="BZ257" s="465"/>
      <c r="CA257" s="465"/>
      <c r="CB257" s="465"/>
      <c r="CC257" s="465"/>
      <c r="CD257" s="465"/>
      <c r="CE257" s="465"/>
      <c r="CF257" s="465"/>
      <c r="CG257" s="465"/>
      <c r="CH257" s="465"/>
      <c r="CI257" s="465"/>
      <c r="CJ257" s="465"/>
      <c r="CK257" s="465"/>
      <c r="CL257" s="465"/>
      <c r="CM257" s="466"/>
      <c r="CN257" s="198"/>
      <c r="CO257" s="198"/>
      <c r="CP257" s="198"/>
      <c r="CQ257" s="98"/>
    </row>
    <row r="258" spans="1:95" s="67" customFormat="1" ht="30" hidden="1" customHeight="1">
      <c r="A258" s="416" t="s">
        <v>101</v>
      </c>
      <c r="B258" s="420">
        <v>2141</v>
      </c>
      <c r="C258" s="420">
        <v>119</v>
      </c>
      <c r="D258" s="420"/>
      <c r="E258" s="414">
        <f>E260</f>
        <v>0</v>
      </c>
      <c r="F258" s="421">
        <f t="shared" ref="F258:I258" si="157">F260</f>
        <v>0</v>
      </c>
      <c r="G258" s="414">
        <f t="shared" si="157"/>
        <v>0</v>
      </c>
      <c r="H258" s="414">
        <f t="shared" si="157"/>
        <v>0</v>
      </c>
      <c r="I258" s="414">
        <f t="shared" si="157"/>
        <v>0</v>
      </c>
      <c r="J258" s="414" t="s">
        <v>60</v>
      </c>
      <c r="K258" s="414" t="s">
        <v>60</v>
      </c>
      <c r="M258" s="196"/>
      <c r="N258" s="197"/>
      <c r="O258" s="197"/>
      <c r="P258" s="197"/>
      <c r="Q258" s="197"/>
      <c r="R258" s="197"/>
      <c r="S258" s="197"/>
      <c r="T258" s="464"/>
      <c r="U258" s="465"/>
      <c r="V258" s="465"/>
      <c r="W258" s="465"/>
      <c r="X258" s="465"/>
      <c r="Y258" s="465"/>
      <c r="Z258" s="465"/>
      <c r="AA258" s="465"/>
      <c r="AB258" s="465"/>
      <c r="AC258" s="465"/>
      <c r="AD258" s="465"/>
      <c r="AE258" s="465"/>
      <c r="AF258" s="465"/>
      <c r="AG258" s="465"/>
      <c r="AH258" s="465"/>
      <c r="AI258" s="465"/>
      <c r="AJ258" s="465"/>
      <c r="AK258" s="465"/>
      <c r="AL258" s="465"/>
      <c r="AM258" s="465"/>
      <c r="AN258" s="465"/>
      <c r="AO258" s="465"/>
      <c r="AP258" s="465"/>
      <c r="AQ258" s="466"/>
      <c r="AR258" s="464"/>
      <c r="AS258" s="465"/>
      <c r="AT258" s="465"/>
      <c r="AU258" s="465"/>
      <c r="AV258" s="465"/>
      <c r="AW258" s="465"/>
      <c r="AX258" s="465"/>
      <c r="AY258" s="465"/>
      <c r="AZ258" s="465"/>
      <c r="BA258" s="465"/>
      <c r="BB258" s="465"/>
      <c r="BC258" s="465"/>
      <c r="BD258" s="465"/>
      <c r="BE258" s="465"/>
      <c r="BF258" s="465"/>
      <c r="BG258" s="465"/>
      <c r="BH258" s="465"/>
      <c r="BI258" s="465"/>
      <c r="BJ258" s="465"/>
      <c r="BK258" s="465"/>
      <c r="BL258" s="465"/>
      <c r="BM258" s="465"/>
      <c r="BN258" s="465"/>
      <c r="BO258" s="466"/>
      <c r="BP258" s="464"/>
      <c r="BQ258" s="465"/>
      <c r="BR258" s="465"/>
      <c r="BS258" s="465"/>
      <c r="BT258" s="465"/>
      <c r="BU258" s="465"/>
      <c r="BV258" s="465"/>
      <c r="BW258" s="465"/>
      <c r="BX258" s="465"/>
      <c r="BY258" s="465"/>
      <c r="BZ258" s="465"/>
      <c r="CA258" s="465"/>
      <c r="CB258" s="465"/>
      <c r="CC258" s="465"/>
      <c r="CD258" s="465"/>
      <c r="CE258" s="465"/>
      <c r="CF258" s="465"/>
      <c r="CG258" s="465"/>
      <c r="CH258" s="465"/>
      <c r="CI258" s="465"/>
      <c r="CJ258" s="465"/>
      <c r="CK258" s="465"/>
      <c r="CL258" s="465"/>
      <c r="CM258" s="466"/>
      <c r="CN258" s="198"/>
      <c r="CO258" s="198"/>
      <c r="CP258" s="198"/>
      <c r="CQ258" s="98"/>
    </row>
    <row r="259" spans="1:95" s="67" customFormat="1" ht="15.75" hidden="1" customHeight="1">
      <c r="A259" s="416"/>
      <c r="B259" s="420"/>
      <c r="C259" s="420"/>
      <c r="D259" s="420"/>
      <c r="E259" s="414"/>
      <c r="F259" s="421"/>
      <c r="G259" s="414"/>
      <c r="H259" s="414"/>
      <c r="I259" s="414"/>
      <c r="J259" s="414"/>
      <c r="K259" s="414"/>
      <c r="M259" s="196"/>
      <c r="N259" s="197"/>
      <c r="O259" s="197"/>
      <c r="P259" s="197"/>
      <c r="Q259" s="197"/>
      <c r="R259" s="197"/>
      <c r="S259" s="197"/>
      <c r="T259" s="464"/>
      <c r="U259" s="465"/>
      <c r="V259" s="465"/>
      <c r="W259" s="465"/>
      <c r="X259" s="465"/>
      <c r="Y259" s="465"/>
      <c r="Z259" s="465"/>
      <c r="AA259" s="465"/>
      <c r="AB259" s="465"/>
      <c r="AC259" s="465"/>
      <c r="AD259" s="465"/>
      <c r="AE259" s="465"/>
      <c r="AF259" s="465"/>
      <c r="AG259" s="465"/>
      <c r="AH259" s="465"/>
      <c r="AI259" s="465"/>
      <c r="AJ259" s="465"/>
      <c r="AK259" s="465"/>
      <c r="AL259" s="465"/>
      <c r="AM259" s="465"/>
      <c r="AN259" s="465"/>
      <c r="AO259" s="465"/>
      <c r="AP259" s="465"/>
      <c r="AQ259" s="466"/>
      <c r="AR259" s="464"/>
      <c r="AS259" s="465"/>
      <c r="AT259" s="465"/>
      <c r="AU259" s="465"/>
      <c r="AV259" s="465"/>
      <c r="AW259" s="465"/>
      <c r="AX259" s="465"/>
      <c r="AY259" s="465"/>
      <c r="AZ259" s="465"/>
      <c r="BA259" s="465"/>
      <c r="BB259" s="465"/>
      <c r="BC259" s="465"/>
      <c r="BD259" s="465"/>
      <c r="BE259" s="465"/>
      <c r="BF259" s="465"/>
      <c r="BG259" s="465"/>
      <c r="BH259" s="465"/>
      <c r="BI259" s="465"/>
      <c r="BJ259" s="465"/>
      <c r="BK259" s="465"/>
      <c r="BL259" s="465"/>
      <c r="BM259" s="465"/>
      <c r="BN259" s="465"/>
      <c r="BO259" s="466"/>
      <c r="BP259" s="464"/>
      <c r="BQ259" s="465"/>
      <c r="BR259" s="465"/>
      <c r="BS259" s="465"/>
      <c r="BT259" s="465"/>
      <c r="BU259" s="465"/>
      <c r="BV259" s="465"/>
      <c r="BW259" s="465"/>
      <c r="BX259" s="465"/>
      <c r="BY259" s="465"/>
      <c r="BZ259" s="465"/>
      <c r="CA259" s="465"/>
      <c r="CB259" s="465"/>
      <c r="CC259" s="465"/>
      <c r="CD259" s="465"/>
      <c r="CE259" s="465"/>
      <c r="CF259" s="465"/>
      <c r="CG259" s="465"/>
      <c r="CH259" s="465"/>
      <c r="CI259" s="465"/>
      <c r="CJ259" s="465"/>
      <c r="CK259" s="465"/>
      <c r="CL259" s="465"/>
      <c r="CM259" s="466"/>
      <c r="CN259" s="198"/>
      <c r="CO259" s="198"/>
      <c r="CP259" s="198"/>
      <c r="CQ259" s="98"/>
    </row>
    <row r="260" spans="1:95" s="107" customFormat="1" ht="18" hidden="1" customHeight="1">
      <c r="A260" s="131" t="s">
        <v>191</v>
      </c>
      <c r="B260" s="104"/>
      <c r="C260" s="105" t="s">
        <v>180</v>
      </c>
      <c r="D260" s="104">
        <v>213</v>
      </c>
      <c r="E260" s="114">
        <v>0</v>
      </c>
      <c r="F260" s="114">
        <v>0</v>
      </c>
      <c r="G260" s="113">
        <v>0</v>
      </c>
      <c r="H260" s="114">
        <f>G260</f>
        <v>0</v>
      </c>
      <c r="I260" s="114">
        <f>H260</f>
        <v>0</v>
      </c>
      <c r="J260" s="104" t="s">
        <v>3</v>
      </c>
      <c r="K260" s="104" t="s">
        <v>3</v>
      </c>
      <c r="L260" s="110"/>
      <c r="M260" s="196"/>
      <c r="N260" s="197"/>
      <c r="O260" s="197"/>
      <c r="P260" s="197"/>
      <c r="Q260" s="197"/>
      <c r="R260" s="197"/>
      <c r="S260" s="197"/>
      <c r="T260" s="464"/>
      <c r="U260" s="465"/>
      <c r="V260" s="465"/>
      <c r="W260" s="465"/>
      <c r="X260" s="465"/>
      <c r="Y260" s="465"/>
      <c r="Z260" s="465"/>
      <c r="AA260" s="465"/>
      <c r="AB260" s="465"/>
      <c r="AC260" s="465"/>
      <c r="AD260" s="465"/>
      <c r="AE260" s="465"/>
      <c r="AF260" s="465"/>
      <c r="AG260" s="465"/>
      <c r="AH260" s="465"/>
      <c r="AI260" s="465"/>
      <c r="AJ260" s="465"/>
      <c r="AK260" s="465"/>
      <c r="AL260" s="465"/>
      <c r="AM260" s="465"/>
      <c r="AN260" s="465"/>
      <c r="AO260" s="465"/>
      <c r="AP260" s="465"/>
      <c r="AQ260" s="466"/>
      <c r="AR260" s="464"/>
      <c r="AS260" s="465"/>
      <c r="AT260" s="465"/>
      <c r="AU260" s="465"/>
      <c r="AV260" s="465"/>
      <c r="AW260" s="465"/>
      <c r="AX260" s="465"/>
      <c r="AY260" s="465"/>
      <c r="AZ260" s="465"/>
      <c r="BA260" s="465"/>
      <c r="BB260" s="465"/>
      <c r="BC260" s="465"/>
      <c r="BD260" s="465"/>
      <c r="BE260" s="465"/>
      <c r="BF260" s="465"/>
      <c r="BG260" s="465"/>
      <c r="BH260" s="465"/>
      <c r="BI260" s="465"/>
      <c r="BJ260" s="465"/>
      <c r="BK260" s="465"/>
      <c r="BL260" s="465"/>
      <c r="BM260" s="465"/>
      <c r="BN260" s="465"/>
      <c r="BO260" s="466"/>
      <c r="BP260" s="464"/>
      <c r="BQ260" s="465"/>
      <c r="BR260" s="465"/>
      <c r="BS260" s="465"/>
      <c r="BT260" s="465"/>
      <c r="BU260" s="465"/>
      <c r="BV260" s="465"/>
      <c r="BW260" s="465"/>
      <c r="BX260" s="465"/>
      <c r="BY260" s="465"/>
      <c r="BZ260" s="465"/>
      <c r="CA260" s="465"/>
      <c r="CB260" s="465"/>
      <c r="CC260" s="465"/>
      <c r="CD260" s="465"/>
      <c r="CE260" s="465"/>
      <c r="CF260" s="465"/>
      <c r="CG260" s="465"/>
      <c r="CH260" s="465"/>
      <c r="CI260" s="465"/>
      <c r="CJ260" s="465"/>
      <c r="CK260" s="465"/>
      <c r="CL260" s="465"/>
      <c r="CM260" s="466"/>
      <c r="CN260" s="198"/>
      <c r="CO260" s="198"/>
      <c r="CP260" s="198"/>
      <c r="CQ260" s="98"/>
    </row>
    <row r="261" spans="1:95" s="516" customFormat="1" ht="30" customHeight="1">
      <c r="A261" s="505" t="s">
        <v>61</v>
      </c>
      <c r="B261" s="506" t="s">
        <v>256</v>
      </c>
      <c r="C261" s="506"/>
      <c r="D261" s="506"/>
      <c r="E261" s="507">
        <f>E262</f>
        <v>2597762.6</v>
      </c>
      <c r="F261" s="507">
        <f t="shared" ref="F261" si="158">F262</f>
        <v>2191475.52</v>
      </c>
      <c r="G261" s="507">
        <f t="shared" ref="G261" si="159">G262</f>
        <v>2360250</v>
      </c>
      <c r="H261" s="507">
        <f t="shared" ref="H261" si="160">H262</f>
        <v>2360250</v>
      </c>
      <c r="I261" s="507">
        <f t="shared" ref="I261" si="161">I262</f>
        <v>2360250</v>
      </c>
      <c r="J261" s="507">
        <f>I261</f>
        <v>2360250</v>
      </c>
      <c r="K261" s="507">
        <f>J261</f>
        <v>2360250</v>
      </c>
      <c r="L261" s="508"/>
      <c r="M261" s="509"/>
      <c r="N261" s="510"/>
      <c r="O261" s="510"/>
      <c r="P261" s="510"/>
      <c r="Q261" s="510"/>
      <c r="R261" s="510"/>
      <c r="S261" s="510"/>
      <c r="T261" s="511"/>
      <c r="U261" s="512"/>
      <c r="V261" s="512"/>
      <c r="W261" s="512"/>
      <c r="X261" s="512"/>
      <c r="Y261" s="512"/>
      <c r="Z261" s="512"/>
      <c r="AA261" s="512"/>
      <c r="AB261" s="512"/>
      <c r="AC261" s="512"/>
      <c r="AD261" s="512"/>
      <c r="AE261" s="512"/>
      <c r="AF261" s="512"/>
      <c r="AG261" s="512"/>
      <c r="AH261" s="512"/>
      <c r="AI261" s="512"/>
      <c r="AJ261" s="512"/>
      <c r="AK261" s="512"/>
      <c r="AL261" s="512"/>
      <c r="AM261" s="512"/>
      <c r="AN261" s="512"/>
      <c r="AO261" s="512"/>
      <c r="AP261" s="512"/>
      <c r="AQ261" s="513"/>
      <c r="AR261" s="511"/>
      <c r="AS261" s="512"/>
      <c r="AT261" s="512"/>
      <c r="AU261" s="512"/>
      <c r="AV261" s="512"/>
      <c r="AW261" s="512"/>
      <c r="AX261" s="512"/>
      <c r="AY261" s="512"/>
      <c r="AZ261" s="512"/>
      <c r="BA261" s="512"/>
      <c r="BB261" s="512"/>
      <c r="BC261" s="512"/>
      <c r="BD261" s="512"/>
      <c r="BE261" s="512"/>
      <c r="BF261" s="512"/>
      <c r="BG261" s="512"/>
      <c r="BH261" s="512"/>
      <c r="BI261" s="512"/>
      <c r="BJ261" s="512"/>
      <c r="BK261" s="512"/>
      <c r="BL261" s="512"/>
      <c r="BM261" s="512"/>
      <c r="BN261" s="512"/>
      <c r="BO261" s="513"/>
      <c r="BP261" s="511"/>
      <c r="BQ261" s="512"/>
      <c r="BR261" s="512"/>
      <c r="BS261" s="512"/>
      <c r="BT261" s="512"/>
      <c r="BU261" s="512"/>
      <c r="BV261" s="512"/>
      <c r="BW261" s="512"/>
      <c r="BX261" s="512"/>
      <c r="BY261" s="512"/>
      <c r="BZ261" s="512"/>
      <c r="CA261" s="512"/>
      <c r="CB261" s="512"/>
      <c r="CC261" s="512"/>
      <c r="CD261" s="512"/>
      <c r="CE261" s="512"/>
      <c r="CF261" s="512"/>
      <c r="CG261" s="512"/>
      <c r="CH261" s="512"/>
      <c r="CI261" s="512"/>
      <c r="CJ261" s="512"/>
      <c r="CK261" s="512"/>
      <c r="CL261" s="512"/>
      <c r="CM261" s="513"/>
      <c r="CN261" s="514"/>
      <c r="CO261" s="514"/>
      <c r="CP261" s="514"/>
      <c r="CQ261" s="515"/>
    </row>
    <row r="262" spans="1:95" s="57" customFormat="1" ht="26.25" customHeight="1">
      <c r="A262" s="422" t="s">
        <v>99</v>
      </c>
      <c r="B262" s="423">
        <v>2100</v>
      </c>
      <c r="C262" s="423" t="s">
        <v>60</v>
      </c>
      <c r="D262" s="420"/>
      <c r="E262" s="412">
        <f>E264</f>
        <v>2597762.6</v>
      </c>
      <c r="F262" s="413">
        <f t="shared" ref="F262:I262" si="162">F264</f>
        <v>2191475.52</v>
      </c>
      <c r="G262" s="412">
        <f t="shared" si="162"/>
        <v>2360250</v>
      </c>
      <c r="H262" s="412">
        <f>H264</f>
        <v>2360250</v>
      </c>
      <c r="I262" s="412">
        <f t="shared" si="162"/>
        <v>2360250</v>
      </c>
      <c r="J262" s="412">
        <f>I262</f>
        <v>2360250</v>
      </c>
      <c r="K262" s="412" t="s">
        <v>60</v>
      </c>
      <c r="M262" s="196"/>
      <c r="N262" s="197"/>
      <c r="O262" s="197"/>
      <c r="P262" s="197"/>
      <c r="Q262" s="197"/>
      <c r="R262" s="197"/>
      <c r="S262" s="197"/>
      <c r="T262" s="464"/>
      <c r="U262" s="465"/>
      <c r="V262" s="465"/>
      <c r="W262" s="465"/>
      <c r="X262" s="465"/>
      <c r="Y262" s="465"/>
      <c r="Z262" s="465"/>
      <c r="AA262" s="465"/>
      <c r="AB262" s="465"/>
      <c r="AC262" s="465"/>
      <c r="AD262" s="465"/>
      <c r="AE262" s="465"/>
      <c r="AF262" s="465"/>
      <c r="AG262" s="465"/>
      <c r="AH262" s="465"/>
      <c r="AI262" s="465"/>
      <c r="AJ262" s="465"/>
      <c r="AK262" s="465"/>
      <c r="AL262" s="465"/>
      <c r="AM262" s="465"/>
      <c r="AN262" s="465"/>
      <c r="AO262" s="465"/>
      <c r="AP262" s="465"/>
      <c r="AQ262" s="466"/>
      <c r="AR262" s="464"/>
      <c r="AS262" s="465"/>
      <c r="AT262" s="465"/>
      <c r="AU262" s="465"/>
      <c r="AV262" s="465"/>
      <c r="AW262" s="465"/>
      <c r="AX262" s="465"/>
      <c r="AY262" s="465"/>
      <c r="AZ262" s="465"/>
      <c r="BA262" s="465"/>
      <c r="BB262" s="465"/>
      <c r="BC262" s="465"/>
      <c r="BD262" s="465"/>
      <c r="BE262" s="465"/>
      <c r="BF262" s="465"/>
      <c r="BG262" s="465"/>
      <c r="BH262" s="465"/>
      <c r="BI262" s="465"/>
      <c r="BJ262" s="465"/>
      <c r="BK262" s="465"/>
      <c r="BL262" s="465"/>
      <c r="BM262" s="465"/>
      <c r="BN262" s="465"/>
      <c r="BO262" s="466"/>
      <c r="BP262" s="464"/>
      <c r="BQ262" s="465"/>
      <c r="BR262" s="465"/>
      <c r="BS262" s="465"/>
      <c r="BT262" s="465"/>
      <c r="BU262" s="465"/>
      <c r="BV262" s="465"/>
      <c r="BW262" s="465"/>
      <c r="BX262" s="465"/>
      <c r="BY262" s="465"/>
      <c r="BZ262" s="465"/>
      <c r="CA262" s="465"/>
      <c r="CB262" s="465"/>
      <c r="CC262" s="465"/>
      <c r="CD262" s="465"/>
      <c r="CE262" s="465"/>
      <c r="CF262" s="465"/>
      <c r="CG262" s="465"/>
      <c r="CH262" s="465"/>
      <c r="CI262" s="465"/>
      <c r="CJ262" s="465"/>
      <c r="CK262" s="465"/>
      <c r="CL262" s="465"/>
      <c r="CM262" s="466"/>
      <c r="CN262" s="198"/>
      <c r="CO262" s="198"/>
      <c r="CP262" s="198"/>
      <c r="CQ262" s="98"/>
    </row>
    <row r="263" spans="1:95" s="57" customFormat="1" ht="25.5" customHeight="1">
      <c r="A263" s="422"/>
      <c r="B263" s="423"/>
      <c r="C263" s="423"/>
      <c r="D263" s="420"/>
      <c r="E263" s="412"/>
      <c r="F263" s="413"/>
      <c r="G263" s="412"/>
      <c r="H263" s="412"/>
      <c r="I263" s="412"/>
      <c r="J263" s="412"/>
      <c r="K263" s="412"/>
      <c r="M263" s="196"/>
      <c r="N263" s="197"/>
      <c r="O263" s="197"/>
      <c r="P263" s="197"/>
      <c r="Q263" s="197"/>
      <c r="R263" s="197"/>
      <c r="S263" s="197"/>
      <c r="T263" s="464"/>
      <c r="U263" s="465"/>
      <c r="V263" s="465"/>
      <c r="W263" s="465"/>
      <c r="X263" s="465"/>
      <c r="Y263" s="465"/>
      <c r="Z263" s="465"/>
      <c r="AA263" s="465"/>
      <c r="AB263" s="465"/>
      <c r="AC263" s="465"/>
      <c r="AD263" s="465"/>
      <c r="AE263" s="465"/>
      <c r="AF263" s="465"/>
      <c r="AG263" s="465"/>
      <c r="AH263" s="465"/>
      <c r="AI263" s="465"/>
      <c r="AJ263" s="465"/>
      <c r="AK263" s="465"/>
      <c r="AL263" s="465"/>
      <c r="AM263" s="465"/>
      <c r="AN263" s="465"/>
      <c r="AO263" s="465"/>
      <c r="AP263" s="465"/>
      <c r="AQ263" s="466"/>
      <c r="AR263" s="464"/>
      <c r="AS263" s="465"/>
      <c r="AT263" s="465"/>
      <c r="AU263" s="465"/>
      <c r="AV263" s="465"/>
      <c r="AW263" s="465"/>
      <c r="AX263" s="465"/>
      <c r="AY263" s="465"/>
      <c r="AZ263" s="465"/>
      <c r="BA263" s="465"/>
      <c r="BB263" s="465"/>
      <c r="BC263" s="465"/>
      <c r="BD263" s="465"/>
      <c r="BE263" s="465"/>
      <c r="BF263" s="465"/>
      <c r="BG263" s="465"/>
      <c r="BH263" s="465"/>
      <c r="BI263" s="465"/>
      <c r="BJ263" s="465"/>
      <c r="BK263" s="465"/>
      <c r="BL263" s="465"/>
      <c r="BM263" s="465"/>
      <c r="BN263" s="465"/>
      <c r="BO263" s="466"/>
      <c r="BP263" s="464"/>
      <c r="BQ263" s="465"/>
      <c r="BR263" s="465"/>
      <c r="BS263" s="465"/>
      <c r="BT263" s="465"/>
      <c r="BU263" s="465"/>
      <c r="BV263" s="465"/>
      <c r="BW263" s="465"/>
      <c r="BX263" s="465"/>
      <c r="BY263" s="465"/>
      <c r="BZ263" s="465"/>
      <c r="CA263" s="465"/>
      <c r="CB263" s="465"/>
      <c r="CC263" s="465"/>
      <c r="CD263" s="465"/>
      <c r="CE263" s="465"/>
      <c r="CF263" s="465"/>
      <c r="CG263" s="465"/>
      <c r="CH263" s="465"/>
      <c r="CI263" s="465"/>
      <c r="CJ263" s="465"/>
      <c r="CK263" s="465"/>
      <c r="CL263" s="465"/>
      <c r="CM263" s="466"/>
      <c r="CN263" s="198"/>
      <c r="CO263" s="198"/>
      <c r="CP263" s="198"/>
      <c r="CQ263" s="98"/>
    </row>
    <row r="264" spans="1:95" s="57" customFormat="1" ht="50.25" customHeight="1">
      <c r="A264" s="80" t="s">
        <v>71</v>
      </c>
      <c r="B264" s="79">
        <v>2120</v>
      </c>
      <c r="C264" s="79">
        <v>112</v>
      </c>
      <c r="D264" s="76"/>
      <c r="E264" s="81">
        <f>SUM(E265:E265)</f>
        <v>2597762.6</v>
      </c>
      <c r="F264" s="166">
        <f>SUM(F265:F265)</f>
        <v>2191475.52</v>
      </c>
      <c r="G264" s="81">
        <f>SUM(G265:G265)</f>
        <v>2360250</v>
      </c>
      <c r="H264" s="81">
        <f>SUM(H265:H265)</f>
        <v>2360250</v>
      </c>
      <c r="I264" s="81">
        <f>SUM(I265:I265)</f>
        <v>2360250</v>
      </c>
      <c r="J264" s="81">
        <f>I264</f>
        <v>2360250</v>
      </c>
      <c r="K264" s="172" t="s">
        <v>60</v>
      </c>
      <c r="L264" s="111"/>
      <c r="M264" s="196"/>
      <c r="N264" s="197"/>
      <c r="O264" s="197"/>
      <c r="P264" s="197"/>
      <c r="Q264" s="197"/>
      <c r="R264" s="197"/>
      <c r="S264" s="197"/>
      <c r="T264" s="464"/>
      <c r="U264" s="465"/>
      <c r="V264" s="465"/>
      <c r="W264" s="465"/>
      <c r="X264" s="465"/>
      <c r="Y264" s="465"/>
      <c r="Z264" s="465"/>
      <c r="AA264" s="465"/>
      <c r="AB264" s="465"/>
      <c r="AC264" s="465"/>
      <c r="AD264" s="465"/>
      <c r="AE264" s="465"/>
      <c r="AF264" s="465"/>
      <c r="AG264" s="465"/>
      <c r="AH264" s="465"/>
      <c r="AI264" s="465"/>
      <c r="AJ264" s="465"/>
      <c r="AK264" s="465"/>
      <c r="AL264" s="465"/>
      <c r="AM264" s="465"/>
      <c r="AN264" s="465"/>
      <c r="AO264" s="465"/>
      <c r="AP264" s="465"/>
      <c r="AQ264" s="466"/>
      <c r="AR264" s="464"/>
      <c r="AS264" s="465"/>
      <c r="AT264" s="465"/>
      <c r="AU264" s="465"/>
      <c r="AV264" s="465"/>
      <c r="AW264" s="465"/>
      <c r="AX264" s="465"/>
      <c r="AY264" s="465"/>
      <c r="AZ264" s="465"/>
      <c r="BA264" s="465"/>
      <c r="BB264" s="465"/>
      <c r="BC264" s="465"/>
      <c r="BD264" s="465"/>
      <c r="BE264" s="465"/>
      <c r="BF264" s="465"/>
      <c r="BG264" s="465"/>
      <c r="BH264" s="465"/>
      <c r="BI264" s="465"/>
      <c r="BJ264" s="465"/>
      <c r="BK264" s="465"/>
      <c r="BL264" s="465"/>
      <c r="BM264" s="465"/>
      <c r="BN264" s="465"/>
      <c r="BO264" s="466"/>
      <c r="BP264" s="464"/>
      <c r="BQ264" s="465"/>
      <c r="BR264" s="465"/>
      <c r="BS264" s="465"/>
      <c r="BT264" s="465"/>
      <c r="BU264" s="465"/>
      <c r="BV264" s="465"/>
      <c r="BW264" s="465"/>
      <c r="BX264" s="465"/>
      <c r="BY264" s="465"/>
      <c r="BZ264" s="465"/>
      <c r="CA264" s="465"/>
      <c r="CB264" s="465"/>
      <c r="CC264" s="465"/>
      <c r="CD264" s="465"/>
      <c r="CE264" s="465"/>
      <c r="CF264" s="465"/>
      <c r="CG264" s="465"/>
      <c r="CH264" s="465"/>
      <c r="CI264" s="465"/>
      <c r="CJ264" s="465"/>
      <c r="CK264" s="465"/>
      <c r="CL264" s="465"/>
      <c r="CM264" s="466"/>
      <c r="CN264" s="198"/>
      <c r="CO264" s="198"/>
      <c r="CP264" s="198"/>
      <c r="CQ264" s="98"/>
    </row>
    <row r="265" spans="1:95" s="107" customFormat="1" ht="35.25" customHeight="1">
      <c r="A265" s="131" t="s">
        <v>192</v>
      </c>
      <c r="B265" s="104"/>
      <c r="C265" s="105" t="s">
        <v>257</v>
      </c>
      <c r="D265" s="104">
        <v>266</v>
      </c>
      <c r="E265" s="112">
        <v>2597762.6</v>
      </c>
      <c r="F265" s="112">
        <v>2191475.52</v>
      </c>
      <c r="G265" s="112">
        <v>2360250</v>
      </c>
      <c r="H265" s="114">
        <v>2360250</v>
      </c>
      <c r="I265" s="114">
        <v>2360250</v>
      </c>
      <c r="J265" s="114">
        <f>I265</f>
        <v>2360250</v>
      </c>
      <c r="K265" s="104" t="s">
        <v>3</v>
      </c>
      <c r="L265" s="110"/>
      <c r="M265" s="196"/>
      <c r="N265" s="197"/>
      <c r="O265" s="197"/>
      <c r="P265" s="197"/>
      <c r="Q265" s="197"/>
      <c r="R265" s="197"/>
      <c r="S265" s="197"/>
      <c r="T265" s="464"/>
      <c r="U265" s="465"/>
      <c r="V265" s="465"/>
      <c r="W265" s="465"/>
      <c r="X265" s="465"/>
      <c r="Y265" s="465"/>
      <c r="Z265" s="465"/>
      <c r="AA265" s="465"/>
      <c r="AB265" s="465"/>
      <c r="AC265" s="465"/>
      <c r="AD265" s="465"/>
      <c r="AE265" s="465"/>
      <c r="AF265" s="465"/>
      <c r="AG265" s="465"/>
      <c r="AH265" s="465"/>
      <c r="AI265" s="465"/>
      <c r="AJ265" s="465"/>
      <c r="AK265" s="465"/>
      <c r="AL265" s="465"/>
      <c r="AM265" s="465"/>
      <c r="AN265" s="465"/>
      <c r="AO265" s="465"/>
      <c r="AP265" s="465"/>
      <c r="AQ265" s="466"/>
      <c r="AR265" s="464"/>
      <c r="AS265" s="465"/>
      <c r="AT265" s="465"/>
      <c r="AU265" s="465"/>
      <c r="AV265" s="465"/>
      <c r="AW265" s="465"/>
      <c r="AX265" s="465"/>
      <c r="AY265" s="465"/>
      <c r="AZ265" s="465"/>
      <c r="BA265" s="465"/>
      <c r="BB265" s="465"/>
      <c r="BC265" s="465"/>
      <c r="BD265" s="465"/>
      <c r="BE265" s="465"/>
      <c r="BF265" s="465"/>
      <c r="BG265" s="465"/>
      <c r="BH265" s="465"/>
      <c r="BI265" s="465"/>
      <c r="BJ265" s="465"/>
      <c r="BK265" s="465"/>
      <c r="BL265" s="465"/>
      <c r="BM265" s="465"/>
      <c r="BN265" s="465"/>
      <c r="BO265" s="466"/>
      <c r="BP265" s="464"/>
      <c r="BQ265" s="465"/>
      <c r="BR265" s="465"/>
      <c r="BS265" s="465"/>
      <c r="BT265" s="465"/>
      <c r="BU265" s="465"/>
      <c r="BV265" s="465"/>
      <c r="BW265" s="465"/>
      <c r="BX265" s="465"/>
      <c r="BY265" s="465"/>
      <c r="BZ265" s="465"/>
      <c r="CA265" s="465"/>
      <c r="CB265" s="465"/>
      <c r="CC265" s="465"/>
      <c r="CD265" s="465"/>
      <c r="CE265" s="465"/>
      <c r="CF265" s="465"/>
      <c r="CG265" s="465"/>
      <c r="CH265" s="465"/>
      <c r="CI265" s="465"/>
      <c r="CJ265" s="465"/>
      <c r="CK265" s="465"/>
      <c r="CL265" s="465"/>
      <c r="CM265" s="466"/>
      <c r="CN265" s="198"/>
      <c r="CO265" s="198"/>
      <c r="CP265" s="198"/>
      <c r="CQ265" s="98"/>
    </row>
    <row r="266" spans="1:95" s="516" customFormat="1" ht="30" customHeight="1">
      <c r="A266" s="505" t="s">
        <v>61</v>
      </c>
      <c r="B266" s="506" t="s">
        <v>234</v>
      </c>
      <c r="C266" s="506"/>
      <c r="D266" s="506"/>
      <c r="E266" s="507">
        <f>E267</f>
        <v>12514</v>
      </c>
      <c r="F266" s="507">
        <f t="shared" ref="F266" si="163">F267</f>
        <v>12898</v>
      </c>
      <c r="G266" s="507">
        <f t="shared" ref="G266" si="164">G267</f>
        <v>15790</v>
      </c>
      <c r="H266" s="507">
        <f t="shared" ref="H266" si="165">H267</f>
        <v>15790</v>
      </c>
      <c r="I266" s="507">
        <f t="shared" ref="I266:K266" si="166">I267</f>
        <v>15790</v>
      </c>
      <c r="J266" s="507">
        <f t="shared" si="166"/>
        <v>15790</v>
      </c>
      <c r="K266" s="507">
        <f t="shared" si="166"/>
        <v>15790</v>
      </c>
      <c r="L266" s="508"/>
      <c r="M266" s="509"/>
      <c r="N266" s="510"/>
      <c r="O266" s="510"/>
      <c r="P266" s="510"/>
      <c r="Q266" s="510"/>
      <c r="R266" s="510"/>
      <c r="S266" s="510"/>
      <c r="T266" s="511"/>
      <c r="U266" s="512"/>
      <c r="V266" s="512"/>
      <c r="W266" s="512"/>
      <c r="X266" s="512"/>
      <c r="Y266" s="512"/>
      <c r="Z266" s="512"/>
      <c r="AA266" s="512"/>
      <c r="AB266" s="512"/>
      <c r="AC266" s="512"/>
      <c r="AD266" s="512"/>
      <c r="AE266" s="512"/>
      <c r="AF266" s="512"/>
      <c r="AG266" s="512"/>
      <c r="AH266" s="512"/>
      <c r="AI266" s="512"/>
      <c r="AJ266" s="512"/>
      <c r="AK266" s="512"/>
      <c r="AL266" s="512"/>
      <c r="AM266" s="512"/>
      <c r="AN266" s="512"/>
      <c r="AO266" s="512"/>
      <c r="AP266" s="512"/>
      <c r="AQ266" s="513"/>
      <c r="AR266" s="511"/>
      <c r="AS266" s="512"/>
      <c r="AT266" s="512"/>
      <c r="AU266" s="512"/>
      <c r="AV266" s="512"/>
      <c r="AW266" s="512"/>
      <c r="AX266" s="512"/>
      <c r="AY266" s="512"/>
      <c r="AZ266" s="512"/>
      <c r="BA266" s="512"/>
      <c r="BB266" s="512"/>
      <c r="BC266" s="512"/>
      <c r="BD266" s="512"/>
      <c r="BE266" s="512"/>
      <c r="BF266" s="512"/>
      <c r="BG266" s="512"/>
      <c r="BH266" s="512"/>
      <c r="BI266" s="512"/>
      <c r="BJ266" s="512"/>
      <c r="BK266" s="512"/>
      <c r="BL266" s="512"/>
      <c r="BM266" s="512"/>
      <c r="BN266" s="512"/>
      <c r="BO266" s="513"/>
      <c r="BP266" s="511"/>
      <c r="BQ266" s="512"/>
      <c r="BR266" s="512"/>
      <c r="BS266" s="512"/>
      <c r="BT266" s="512"/>
      <c r="BU266" s="512"/>
      <c r="BV266" s="512"/>
      <c r="BW266" s="512"/>
      <c r="BX266" s="512"/>
      <c r="BY266" s="512"/>
      <c r="BZ266" s="512"/>
      <c r="CA266" s="512"/>
      <c r="CB266" s="512"/>
      <c r="CC266" s="512"/>
      <c r="CD266" s="512"/>
      <c r="CE266" s="512"/>
      <c r="CF266" s="512"/>
      <c r="CG266" s="512"/>
      <c r="CH266" s="512"/>
      <c r="CI266" s="512"/>
      <c r="CJ266" s="512"/>
      <c r="CK266" s="512"/>
      <c r="CL266" s="512"/>
      <c r="CM266" s="513"/>
      <c r="CN266" s="514"/>
      <c r="CO266" s="514"/>
      <c r="CP266" s="514"/>
      <c r="CQ266" s="515"/>
    </row>
    <row r="267" spans="1:95" s="57" customFormat="1" ht="38.25" customHeight="1">
      <c r="A267" s="59" t="s">
        <v>231</v>
      </c>
      <c r="B267" s="79">
        <v>2600</v>
      </c>
      <c r="C267" s="79" t="s">
        <v>60</v>
      </c>
      <c r="D267" s="76"/>
      <c r="E267" s="81">
        <f>E269</f>
        <v>12514</v>
      </c>
      <c r="F267" s="166">
        <f t="shared" ref="F267:J267" si="167">F269</f>
        <v>12898</v>
      </c>
      <c r="G267" s="81">
        <f t="shared" si="167"/>
        <v>15790</v>
      </c>
      <c r="H267" s="81">
        <f t="shared" si="167"/>
        <v>15790</v>
      </c>
      <c r="I267" s="81">
        <f t="shared" si="167"/>
        <v>15790</v>
      </c>
      <c r="J267" s="81">
        <f t="shared" si="167"/>
        <v>15790</v>
      </c>
      <c r="K267" s="172">
        <f t="shared" ref="K267" si="168">K269</f>
        <v>15790</v>
      </c>
      <c r="M267" s="196"/>
      <c r="N267" s="197"/>
      <c r="O267" s="197"/>
      <c r="P267" s="197"/>
      <c r="Q267" s="197"/>
      <c r="R267" s="197"/>
      <c r="S267" s="197"/>
      <c r="T267" s="464"/>
      <c r="U267" s="465"/>
      <c r="V267" s="465"/>
      <c r="W267" s="465"/>
      <c r="X267" s="465"/>
      <c r="Y267" s="465"/>
      <c r="Z267" s="465"/>
      <c r="AA267" s="465"/>
      <c r="AB267" s="465"/>
      <c r="AC267" s="465"/>
      <c r="AD267" s="465"/>
      <c r="AE267" s="465"/>
      <c r="AF267" s="465"/>
      <c r="AG267" s="465"/>
      <c r="AH267" s="465"/>
      <c r="AI267" s="465"/>
      <c r="AJ267" s="465"/>
      <c r="AK267" s="465"/>
      <c r="AL267" s="465"/>
      <c r="AM267" s="465"/>
      <c r="AN267" s="465"/>
      <c r="AO267" s="465"/>
      <c r="AP267" s="465"/>
      <c r="AQ267" s="466"/>
      <c r="AR267" s="464"/>
      <c r="AS267" s="465"/>
      <c r="AT267" s="465"/>
      <c r="AU267" s="465"/>
      <c r="AV267" s="465"/>
      <c r="AW267" s="465"/>
      <c r="AX267" s="465"/>
      <c r="AY267" s="465"/>
      <c r="AZ267" s="465"/>
      <c r="BA267" s="465"/>
      <c r="BB267" s="465"/>
      <c r="BC267" s="465"/>
      <c r="BD267" s="465"/>
      <c r="BE267" s="465"/>
      <c r="BF267" s="465"/>
      <c r="BG267" s="465"/>
      <c r="BH267" s="465"/>
      <c r="BI267" s="465"/>
      <c r="BJ267" s="465"/>
      <c r="BK267" s="465"/>
      <c r="BL267" s="465"/>
      <c r="BM267" s="465"/>
      <c r="BN267" s="465"/>
      <c r="BO267" s="466"/>
      <c r="BP267" s="464"/>
      <c r="BQ267" s="465"/>
      <c r="BR267" s="465"/>
      <c r="BS267" s="465"/>
      <c r="BT267" s="465"/>
      <c r="BU267" s="465"/>
      <c r="BV267" s="465"/>
      <c r="BW267" s="465"/>
      <c r="BX267" s="465"/>
      <c r="BY267" s="465"/>
      <c r="BZ267" s="465"/>
      <c r="CA267" s="465"/>
      <c r="CB267" s="465"/>
      <c r="CC267" s="465"/>
      <c r="CD267" s="465"/>
      <c r="CE267" s="465"/>
      <c r="CF267" s="465"/>
      <c r="CG267" s="465"/>
      <c r="CH267" s="465"/>
      <c r="CI267" s="465"/>
      <c r="CJ267" s="465"/>
      <c r="CK267" s="465"/>
      <c r="CL267" s="465"/>
      <c r="CM267" s="466"/>
      <c r="CN267" s="198"/>
      <c r="CO267" s="198"/>
      <c r="CP267" s="198"/>
      <c r="CQ267" s="98"/>
    </row>
    <row r="268" spans="1:95" s="67" customFormat="1" ht="30" customHeight="1">
      <c r="A268" s="149" t="s">
        <v>230</v>
      </c>
      <c r="B268" s="76"/>
      <c r="C268" s="76"/>
      <c r="D268" s="76"/>
      <c r="E268" s="82"/>
      <c r="F268" s="163"/>
      <c r="G268" s="82"/>
      <c r="H268" s="82"/>
      <c r="I268" s="82"/>
      <c r="J268" s="78"/>
      <c r="K268" s="177"/>
      <c r="M268" s="196"/>
      <c r="N268" s="197"/>
      <c r="O268" s="197"/>
      <c r="P268" s="197"/>
      <c r="Q268" s="197"/>
      <c r="R268" s="197"/>
      <c r="S268" s="197"/>
      <c r="T268" s="464"/>
      <c r="U268" s="465"/>
      <c r="V268" s="465"/>
      <c r="W268" s="465"/>
      <c r="X268" s="465"/>
      <c r="Y268" s="465"/>
      <c r="Z268" s="465"/>
      <c r="AA268" s="465"/>
      <c r="AB268" s="465"/>
      <c r="AC268" s="465"/>
      <c r="AD268" s="465"/>
      <c r="AE268" s="465"/>
      <c r="AF268" s="465"/>
      <c r="AG268" s="465"/>
      <c r="AH268" s="465"/>
      <c r="AI268" s="465"/>
      <c r="AJ268" s="465"/>
      <c r="AK268" s="465"/>
      <c r="AL268" s="465"/>
      <c r="AM268" s="465"/>
      <c r="AN268" s="465"/>
      <c r="AO268" s="465"/>
      <c r="AP268" s="465"/>
      <c r="AQ268" s="466"/>
      <c r="AR268" s="464"/>
      <c r="AS268" s="465"/>
      <c r="AT268" s="465"/>
      <c r="AU268" s="465"/>
      <c r="AV268" s="465"/>
      <c r="AW268" s="465"/>
      <c r="AX268" s="465"/>
      <c r="AY268" s="465"/>
      <c r="AZ268" s="465"/>
      <c r="BA268" s="465"/>
      <c r="BB268" s="465"/>
      <c r="BC268" s="465"/>
      <c r="BD268" s="465"/>
      <c r="BE268" s="465"/>
      <c r="BF268" s="465"/>
      <c r="BG268" s="465"/>
      <c r="BH268" s="465"/>
      <c r="BI268" s="465"/>
      <c r="BJ268" s="465"/>
      <c r="BK268" s="465"/>
      <c r="BL268" s="465"/>
      <c r="BM268" s="465"/>
      <c r="BN268" s="465"/>
      <c r="BO268" s="466"/>
      <c r="BP268" s="464"/>
      <c r="BQ268" s="465"/>
      <c r="BR268" s="465"/>
      <c r="BS268" s="465"/>
      <c r="BT268" s="465"/>
      <c r="BU268" s="465"/>
      <c r="BV268" s="465"/>
      <c r="BW268" s="465"/>
      <c r="BX268" s="465"/>
      <c r="BY268" s="465"/>
      <c r="BZ268" s="465"/>
      <c r="CA268" s="465"/>
      <c r="CB268" s="465"/>
      <c r="CC268" s="465"/>
      <c r="CD268" s="465"/>
      <c r="CE268" s="465"/>
      <c r="CF268" s="465"/>
      <c r="CG268" s="465"/>
      <c r="CH268" s="465"/>
      <c r="CI268" s="465"/>
      <c r="CJ268" s="465"/>
      <c r="CK268" s="465"/>
      <c r="CL268" s="465"/>
      <c r="CM268" s="466"/>
      <c r="CN268" s="198"/>
      <c r="CO268" s="198"/>
      <c r="CP268" s="198"/>
      <c r="CQ268" s="98"/>
    </row>
    <row r="269" spans="1:95" s="57" customFormat="1" ht="32.25" customHeight="1">
      <c r="A269" s="116" t="s">
        <v>259</v>
      </c>
      <c r="B269" s="93">
        <v>2640</v>
      </c>
      <c r="C269" s="93">
        <v>244</v>
      </c>
      <c r="D269" s="93"/>
      <c r="E269" s="94">
        <f>E270</f>
        <v>12514</v>
      </c>
      <c r="F269" s="166">
        <f t="shared" ref="F269:K269" si="169">F270</f>
        <v>12898</v>
      </c>
      <c r="G269" s="94">
        <f t="shared" si="169"/>
        <v>15790</v>
      </c>
      <c r="H269" s="94">
        <f t="shared" si="169"/>
        <v>15790</v>
      </c>
      <c r="I269" s="94">
        <f t="shared" si="169"/>
        <v>15790</v>
      </c>
      <c r="J269" s="94">
        <f t="shared" si="169"/>
        <v>15790</v>
      </c>
      <c r="K269" s="176">
        <f t="shared" si="169"/>
        <v>15790</v>
      </c>
      <c r="L269" s="111"/>
      <c r="M269" s="196"/>
      <c r="N269" s="197"/>
      <c r="O269" s="197"/>
      <c r="P269" s="197"/>
      <c r="Q269" s="197"/>
      <c r="R269" s="197"/>
      <c r="S269" s="197"/>
      <c r="T269" s="464"/>
      <c r="U269" s="465"/>
      <c r="V269" s="465"/>
      <c r="W269" s="465"/>
      <c r="X269" s="465"/>
      <c r="Y269" s="465"/>
      <c r="Z269" s="465"/>
      <c r="AA269" s="465"/>
      <c r="AB269" s="465"/>
      <c r="AC269" s="465"/>
      <c r="AD269" s="465"/>
      <c r="AE269" s="465"/>
      <c r="AF269" s="465"/>
      <c r="AG269" s="465"/>
      <c r="AH269" s="465"/>
      <c r="AI269" s="465"/>
      <c r="AJ269" s="465"/>
      <c r="AK269" s="465"/>
      <c r="AL269" s="465"/>
      <c r="AM269" s="465"/>
      <c r="AN269" s="465"/>
      <c r="AO269" s="465"/>
      <c r="AP269" s="465"/>
      <c r="AQ269" s="466"/>
      <c r="AR269" s="464"/>
      <c r="AS269" s="465"/>
      <c r="AT269" s="465"/>
      <c r="AU269" s="465"/>
      <c r="AV269" s="465"/>
      <c r="AW269" s="465"/>
      <c r="AX269" s="465"/>
      <c r="AY269" s="465"/>
      <c r="AZ269" s="465"/>
      <c r="BA269" s="465"/>
      <c r="BB269" s="465"/>
      <c r="BC269" s="465"/>
      <c r="BD269" s="465"/>
      <c r="BE269" s="465"/>
      <c r="BF269" s="465"/>
      <c r="BG269" s="465"/>
      <c r="BH269" s="465"/>
      <c r="BI269" s="465"/>
      <c r="BJ269" s="465"/>
      <c r="BK269" s="465"/>
      <c r="BL269" s="465"/>
      <c r="BM269" s="465"/>
      <c r="BN269" s="465"/>
      <c r="BO269" s="466"/>
      <c r="BP269" s="464"/>
      <c r="BQ269" s="465"/>
      <c r="BR269" s="465"/>
      <c r="BS269" s="465"/>
      <c r="BT269" s="465"/>
      <c r="BU269" s="465"/>
      <c r="BV269" s="465"/>
      <c r="BW269" s="465"/>
      <c r="BX269" s="465"/>
      <c r="BY269" s="465"/>
      <c r="BZ269" s="465"/>
      <c r="CA269" s="465"/>
      <c r="CB269" s="465"/>
      <c r="CC269" s="465"/>
      <c r="CD269" s="465"/>
      <c r="CE269" s="465"/>
      <c r="CF269" s="465"/>
      <c r="CG269" s="465"/>
      <c r="CH269" s="465"/>
      <c r="CI269" s="465"/>
      <c r="CJ269" s="465"/>
      <c r="CK269" s="465"/>
      <c r="CL269" s="465"/>
      <c r="CM269" s="466"/>
      <c r="CN269" s="198"/>
      <c r="CO269" s="198"/>
      <c r="CP269" s="198"/>
      <c r="CQ269" s="98"/>
    </row>
    <row r="270" spans="1:95" s="107" customFormat="1" ht="18" customHeight="1">
      <c r="A270" s="131" t="s">
        <v>193</v>
      </c>
      <c r="B270" s="104"/>
      <c r="C270" s="105" t="s">
        <v>184</v>
      </c>
      <c r="D270" s="104">
        <v>226</v>
      </c>
      <c r="E270" s="106">
        <v>12514</v>
      </c>
      <c r="F270" s="114">
        <v>12898</v>
      </c>
      <c r="G270" s="113">
        <v>15790</v>
      </c>
      <c r="H270" s="114">
        <v>15790</v>
      </c>
      <c r="I270" s="114">
        <v>15790</v>
      </c>
      <c r="J270" s="114">
        <f>I270</f>
        <v>15790</v>
      </c>
      <c r="K270" s="114">
        <f>J270</f>
        <v>15790</v>
      </c>
      <c r="L270" s="110"/>
      <c r="M270" s="196"/>
      <c r="N270" s="197"/>
      <c r="O270" s="197"/>
      <c r="P270" s="197"/>
      <c r="Q270" s="197"/>
      <c r="R270" s="197"/>
      <c r="S270" s="197"/>
      <c r="T270" s="464"/>
      <c r="U270" s="465"/>
      <c r="V270" s="465"/>
      <c r="W270" s="465"/>
      <c r="X270" s="465"/>
      <c r="Y270" s="465"/>
      <c r="Z270" s="465"/>
      <c r="AA270" s="465"/>
      <c r="AB270" s="465"/>
      <c r="AC270" s="465"/>
      <c r="AD270" s="465"/>
      <c r="AE270" s="465"/>
      <c r="AF270" s="465"/>
      <c r="AG270" s="465"/>
      <c r="AH270" s="465"/>
      <c r="AI270" s="465"/>
      <c r="AJ270" s="465"/>
      <c r="AK270" s="465"/>
      <c r="AL270" s="465"/>
      <c r="AM270" s="465"/>
      <c r="AN270" s="465"/>
      <c r="AO270" s="465"/>
      <c r="AP270" s="465"/>
      <c r="AQ270" s="466"/>
      <c r="AR270" s="464"/>
      <c r="AS270" s="465"/>
      <c r="AT270" s="465"/>
      <c r="AU270" s="465"/>
      <c r="AV270" s="465"/>
      <c r="AW270" s="465"/>
      <c r="AX270" s="465"/>
      <c r="AY270" s="465"/>
      <c r="AZ270" s="465"/>
      <c r="BA270" s="465"/>
      <c r="BB270" s="465"/>
      <c r="BC270" s="465"/>
      <c r="BD270" s="465"/>
      <c r="BE270" s="465"/>
      <c r="BF270" s="465"/>
      <c r="BG270" s="465"/>
      <c r="BH270" s="465"/>
      <c r="BI270" s="465"/>
      <c r="BJ270" s="465"/>
      <c r="BK270" s="465"/>
      <c r="BL270" s="465"/>
      <c r="BM270" s="465"/>
      <c r="BN270" s="465"/>
      <c r="BO270" s="466"/>
      <c r="BP270" s="464"/>
      <c r="BQ270" s="465"/>
      <c r="BR270" s="465"/>
      <c r="BS270" s="465"/>
      <c r="BT270" s="465"/>
      <c r="BU270" s="465"/>
      <c r="BV270" s="465"/>
      <c r="BW270" s="465"/>
      <c r="BX270" s="465"/>
      <c r="BY270" s="465"/>
      <c r="BZ270" s="465"/>
      <c r="CA270" s="465"/>
      <c r="CB270" s="465"/>
      <c r="CC270" s="465"/>
      <c r="CD270" s="465"/>
      <c r="CE270" s="465"/>
      <c r="CF270" s="465"/>
      <c r="CG270" s="465"/>
      <c r="CH270" s="465"/>
      <c r="CI270" s="465"/>
      <c r="CJ270" s="465"/>
      <c r="CK270" s="465"/>
      <c r="CL270" s="465"/>
      <c r="CM270" s="466"/>
      <c r="CN270" s="198"/>
      <c r="CO270" s="198"/>
      <c r="CP270" s="198"/>
      <c r="CQ270" s="98"/>
    </row>
    <row r="271" spans="1:95" s="516" customFormat="1" ht="30" customHeight="1">
      <c r="A271" s="505" t="s">
        <v>61</v>
      </c>
      <c r="B271" s="506" t="s">
        <v>233</v>
      </c>
      <c r="C271" s="506"/>
      <c r="D271" s="506"/>
      <c r="E271" s="507">
        <f>E272</f>
        <v>1252283</v>
      </c>
      <c r="F271" s="507">
        <f t="shared" ref="F271:I271" si="170">F272</f>
        <v>1289808</v>
      </c>
      <c r="G271" s="507">
        <f t="shared" si="170"/>
        <v>1579000</v>
      </c>
      <c r="H271" s="507">
        <f t="shared" si="170"/>
        <v>1579000</v>
      </c>
      <c r="I271" s="507">
        <f t="shared" si="170"/>
        <v>1579000</v>
      </c>
      <c r="J271" s="507">
        <f>I271</f>
        <v>1579000</v>
      </c>
      <c r="K271" s="507">
        <f>J271</f>
        <v>1579000</v>
      </c>
      <c r="L271" s="508"/>
      <c r="M271" s="509"/>
      <c r="N271" s="510"/>
      <c r="O271" s="510"/>
      <c r="P271" s="510"/>
      <c r="Q271" s="510"/>
      <c r="R271" s="510"/>
      <c r="S271" s="510"/>
      <c r="T271" s="511"/>
      <c r="U271" s="512"/>
      <c r="V271" s="512"/>
      <c r="W271" s="512"/>
      <c r="X271" s="512"/>
      <c r="Y271" s="512"/>
      <c r="Z271" s="512"/>
      <c r="AA271" s="512"/>
      <c r="AB271" s="512"/>
      <c r="AC271" s="512"/>
      <c r="AD271" s="512"/>
      <c r="AE271" s="512"/>
      <c r="AF271" s="512"/>
      <c r="AG271" s="512"/>
      <c r="AH271" s="512"/>
      <c r="AI271" s="512"/>
      <c r="AJ271" s="512"/>
      <c r="AK271" s="512"/>
      <c r="AL271" s="512"/>
      <c r="AM271" s="512"/>
      <c r="AN271" s="512"/>
      <c r="AO271" s="512"/>
      <c r="AP271" s="512"/>
      <c r="AQ271" s="513"/>
      <c r="AR271" s="511"/>
      <c r="AS271" s="512"/>
      <c r="AT271" s="512"/>
      <c r="AU271" s="512"/>
      <c r="AV271" s="512"/>
      <c r="AW271" s="512"/>
      <c r="AX271" s="512"/>
      <c r="AY271" s="512"/>
      <c r="AZ271" s="512"/>
      <c r="BA271" s="512"/>
      <c r="BB271" s="512"/>
      <c r="BC271" s="512"/>
      <c r="BD271" s="512"/>
      <c r="BE271" s="512"/>
      <c r="BF271" s="512"/>
      <c r="BG271" s="512"/>
      <c r="BH271" s="512"/>
      <c r="BI271" s="512"/>
      <c r="BJ271" s="512"/>
      <c r="BK271" s="512"/>
      <c r="BL271" s="512"/>
      <c r="BM271" s="512"/>
      <c r="BN271" s="512"/>
      <c r="BO271" s="513"/>
      <c r="BP271" s="511"/>
      <c r="BQ271" s="512"/>
      <c r="BR271" s="512"/>
      <c r="BS271" s="512"/>
      <c r="BT271" s="512"/>
      <c r="BU271" s="512"/>
      <c r="BV271" s="512"/>
      <c r="BW271" s="512"/>
      <c r="BX271" s="512"/>
      <c r="BY271" s="512"/>
      <c r="BZ271" s="512"/>
      <c r="CA271" s="512"/>
      <c r="CB271" s="512"/>
      <c r="CC271" s="512"/>
      <c r="CD271" s="512"/>
      <c r="CE271" s="512"/>
      <c r="CF271" s="512"/>
      <c r="CG271" s="512"/>
      <c r="CH271" s="512"/>
      <c r="CI271" s="512"/>
      <c r="CJ271" s="512"/>
      <c r="CK271" s="512"/>
      <c r="CL271" s="512"/>
      <c r="CM271" s="513"/>
      <c r="CN271" s="514"/>
      <c r="CO271" s="514"/>
      <c r="CP271" s="514"/>
      <c r="CQ271" s="515"/>
    </row>
    <row r="272" spans="1:95" s="57" customFormat="1" ht="32.25" customHeight="1">
      <c r="A272" s="80" t="s">
        <v>73</v>
      </c>
      <c r="B272" s="79">
        <v>2200</v>
      </c>
      <c r="C272" s="79">
        <v>300</v>
      </c>
      <c r="D272" s="76"/>
      <c r="E272" s="81">
        <f>SUM(E274:E275)</f>
        <v>1252283</v>
      </c>
      <c r="F272" s="166">
        <f>SUM(F274:F275)</f>
        <v>1289808</v>
      </c>
      <c r="G272" s="81">
        <f>SUM(G274:G275)</f>
        <v>1579000</v>
      </c>
      <c r="H272" s="81">
        <f>SUM(H274:H275)</f>
        <v>1579000</v>
      </c>
      <c r="I272" s="81">
        <f>SUM(I274:I275)</f>
        <v>1579000</v>
      </c>
      <c r="J272" s="81">
        <f>I272</f>
        <v>1579000</v>
      </c>
      <c r="K272" s="172" t="s">
        <v>60</v>
      </c>
      <c r="M272" s="196"/>
      <c r="N272" s="197"/>
      <c r="O272" s="197"/>
      <c r="P272" s="197"/>
      <c r="Q272" s="197"/>
      <c r="R272" s="197"/>
      <c r="S272" s="197"/>
      <c r="T272" s="464"/>
      <c r="U272" s="465"/>
      <c r="V272" s="465"/>
      <c r="W272" s="465"/>
      <c r="X272" s="465"/>
      <c r="Y272" s="465"/>
      <c r="Z272" s="465"/>
      <c r="AA272" s="465"/>
      <c r="AB272" s="465"/>
      <c r="AC272" s="465"/>
      <c r="AD272" s="465"/>
      <c r="AE272" s="465"/>
      <c r="AF272" s="465"/>
      <c r="AG272" s="465"/>
      <c r="AH272" s="465"/>
      <c r="AI272" s="465"/>
      <c r="AJ272" s="465"/>
      <c r="AK272" s="465"/>
      <c r="AL272" s="465"/>
      <c r="AM272" s="465"/>
      <c r="AN272" s="465"/>
      <c r="AO272" s="465"/>
      <c r="AP272" s="465"/>
      <c r="AQ272" s="466"/>
      <c r="AR272" s="464"/>
      <c r="AS272" s="465"/>
      <c r="AT272" s="465"/>
      <c r="AU272" s="465"/>
      <c r="AV272" s="465"/>
      <c r="AW272" s="465"/>
      <c r="AX272" s="465"/>
      <c r="AY272" s="465"/>
      <c r="AZ272" s="465"/>
      <c r="BA272" s="465"/>
      <c r="BB272" s="465"/>
      <c r="BC272" s="465"/>
      <c r="BD272" s="465"/>
      <c r="BE272" s="465"/>
      <c r="BF272" s="465"/>
      <c r="BG272" s="465"/>
      <c r="BH272" s="465"/>
      <c r="BI272" s="465"/>
      <c r="BJ272" s="465"/>
      <c r="BK272" s="465"/>
      <c r="BL272" s="465"/>
      <c r="BM272" s="465"/>
      <c r="BN272" s="465"/>
      <c r="BO272" s="466"/>
      <c r="BP272" s="464"/>
      <c r="BQ272" s="465"/>
      <c r="BR272" s="465"/>
      <c r="BS272" s="465"/>
      <c r="BT272" s="465"/>
      <c r="BU272" s="465"/>
      <c r="BV272" s="465"/>
      <c r="BW272" s="465"/>
      <c r="BX272" s="465"/>
      <c r="BY272" s="465"/>
      <c r="BZ272" s="465"/>
      <c r="CA272" s="465"/>
      <c r="CB272" s="465"/>
      <c r="CC272" s="465"/>
      <c r="CD272" s="465"/>
      <c r="CE272" s="465"/>
      <c r="CF272" s="465"/>
      <c r="CG272" s="465"/>
      <c r="CH272" s="465"/>
      <c r="CI272" s="465"/>
      <c r="CJ272" s="465"/>
      <c r="CK272" s="465"/>
      <c r="CL272" s="465"/>
      <c r="CM272" s="466"/>
      <c r="CN272" s="198"/>
      <c r="CO272" s="198"/>
      <c r="CP272" s="198"/>
      <c r="CQ272" s="98"/>
    </row>
    <row r="273" spans="1:95" s="67" customFormat="1" ht="30" customHeight="1">
      <c r="A273" s="31" t="s">
        <v>102</v>
      </c>
      <c r="B273" s="76"/>
      <c r="C273" s="76"/>
      <c r="D273" s="76"/>
      <c r="E273" s="82"/>
      <c r="F273" s="163"/>
      <c r="G273" s="82"/>
      <c r="H273" s="82"/>
      <c r="I273" s="82"/>
      <c r="J273" s="82"/>
      <c r="K273" s="173"/>
      <c r="M273" s="196"/>
      <c r="N273" s="197"/>
      <c r="O273" s="197"/>
      <c r="P273" s="197"/>
      <c r="Q273" s="197"/>
      <c r="R273" s="197"/>
      <c r="S273" s="197"/>
      <c r="T273" s="464"/>
      <c r="U273" s="465"/>
      <c r="V273" s="465"/>
      <c r="W273" s="465"/>
      <c r="X273" s="465"/>
      <c r="Y273" s="465"/>
      <c r="Z273" s="465"/>
      <c r="AA273" s="465"/>
      <c r="AB273" s="465"/>
      <c r="AC273" s="465"/>
      <c r="AD273" s="465"/>
      <c r="AE273" s="465"/>
      <c r="AF273" s="465"/>
      <c r="AG273" s="465"/>
      <c r="AH273" s="465"/>
      <c r="AI273" s="465"/>
      <c r="AJ273" s="465"/>
      <c r="AK273" s="465"/>
      <c r="AL273" s="465"/>
      <c r="AM273" s="465"/>
      <c r="AN273" s="465"/>
      <c r="AO273" s="465"/>
      <c r="AP273" s="465"/>
      <c r="AQ273" s="466"/>
      <c r="AR273" s="464"/>
      <c r="AS273" s="465"/>
      <c r="AT273" s="465"/>
      <c r="AU273" s="465"/>
      <c r="AV273" s="465"/>
      <c r="AW273" s="465"/>
      <c r="AX273" s="465"/>
      <c r="AY273" s="465"/>
      <c r="AZ273" s="465"/>
      <c r="BA273" s="465"/>
      <c r="BB273" s="465"/>
      <c r="BC273" s="465"/>
      <c r="BD273" s="465"/>
      <c r="BE273" s="465"/>
      <c r="BF273" s="465"/>
      <c r="BG273" s="465"/>
      <c r="BH273" s="465"/>
      <c r="BI273" s="465"/>
      <c r="BJ273" s="465"/>
      <c r="BK273" s="465"/>
      <c r="BL273" s="465"/>
      <c r="BM273" s="465"/>
      <c r="BN273" s="465"/>
      <c r="BO273" s="466"/>
      <c r="BP273" s="464"/>
      <c r="BQ273" s="465"/>
      <c r="BR273" s="465"/>
      <c r="BS273" s="465"/>
      <c r="BT273" s="465"/>
      <c r="BU273" s="465"/>
      <c r="BV273" s="465"/>
      <c r="BW273" s="465"/>
      <c r="BX273" s="465"/>
      <c r="BY273" s="465"/>
      <c r="BZ273" s="465"/>
      <c r="CA273" s="465"/>
      <c r="CB273" s="465"/>
      <c r="CC273" s="465"/>
      <c r="CD273" s="465"/>
      <c r="CE273" s="465"/>
      <c r="CF273" s="465"/>
      <c r="CG273" s="465"/>
      <c r="CH273" s="465"/>
      <c r="CI273" s="465"/>
      <c r="CJ273" s="465"/>
      <c r="CK273" s="465"/>
      <c r="CL273" s="465"/>
      <c r="CM273" s="466"/>
      <c r="CN273" s="198"/>
      <c r="CO273" s="198"/>
      <c r="CP273" s="198"/>
      <c r="CQ273" s="98"/>
    </row>
    <row r="274" spans="1:95" s="57" customFormat="1" ht="22.5" customHeight="1">
      <c r="A274" s="422" t="s">
        <v>103</v>
      </c>
      <c r="B274" s="423">
        <v>2210</v>
      </c>
      <c r="C274" s="423">
        <v>320</v>
      </c>
      <c r="D274" s="423"/>
      <c r="E274" s="412">
        <f>E276</f>
        <v>1252283</v>
      </c>
      <c r="F274" s="413">
        <f t="shared" ref="F274:I274" si="171">F276</f>
        <v>1289808</v>
      </c>
      <c r="G274" s="412">
        <f t="shared" si="171"/>
        <v>1579000</v>
      </c>
      <c r="H274" s="412">
        <f t="shared" si="171"/>
        <v>1579000</v>
      </c>
      <c r="I274" s="412">
        <f t="shared" si="171"/>
        <v>1579000</v>
      </c>
      <c r="J274" s="412">
        <f>I274</f>
        <v>1579000</v>
      </c>
      <c r="K274" s="412" t="s">
        <v>60</v>
      </c>
      <c r="M274" s="196"/>
      <c r="N274" s="197"/>
      <c r="O274" s="197"/>
      <c r="P274" s="197"/>
      <c r="Q274" s="197"/>
      <c r="R274" s="197"/>
      <c r="S274" s="197"/>
      <c r="T274" s="464"/>
      <c r="U274" s="465"/>
      <c r="V274" s="465"/>
      <c r="W274" s="465"/>
      <c r="X274" s="465"/>
      <c r="Y274" s="465"/>
      <c r="Z274" s="465"/>
      <c r="AA274" s="465"/>
      <c r="AB274" s="465"/>
      <c r="AC274" s="465"/>
      <c r="AD274" s="465"/>
      <c r="AE274" s="465"/>
      <c r="AF274" s="465"/>
      <c r="AG274" s="465"/>
      <c r="AH274" s="465"/>
      <c r="AI274" s="465"/>
      <c r="AJ274" s="465"/>
      <c r="AK274" s="465"/>
      <c r="AL274" s="465"/>
      <c r="AM274" s="465"/>
      <c r="AN274" s="465"/>
      <c r="AO274" s="465"/>
      <c r="AP274" s="465"/>
      <c r="AQ274" s="466"/>
      <c r="AR274" s="464"/>
      <c r="AS274" s="465"/>
      <c r="AT274" s="465"/>
      <c r="AU274" s="465"/>
      <c r="AV274" s="465"/>
      <c r="AW274" s="465"/>
      <c r="AX274" s="465"/>
      <c r="AY274" s="465"/>
      <c r="AZ274" s="465"/>
      <c r="BA274" s="465"/>
      <c r="BB274" s="465"/>
      <c r="BC274" s="465"/>
      <c r="BD274" s="465"/>
      <c r="BE274" s="465"/>
      <c r="BF274" s="465"/>
      <c r="BG274" s="465"/>
      <c r="BH274" s="465"/>
      <c r="BI274" s="465"/>
      <c r="BJ274" s="465"/>
      <c r="BK274" s="465"/>
      <c r="BL274" s="465"/>
      <c r="BM274" s="465"/>
      <c r="BN274" s="465"/>
      <c r="BO274" s="466"/>
      <c r="BP274" s="464"/>
      <c r="BQ274" s="465"/>
      <c r="BR274" s="465"/>
      <c r="BS274" s="465"/>
      <c r="BT274" s="465"/>
      <c r="BU274" s="465"/>
      <c r="BV274" s="465"/>
      <c r="BW274" s="465"/>
      <c r="BX274" s="465"/>
      <c r="BY274" s="465"/>
      <c r="BZ274" s="465"/>
      <c r="CA274" s="465"/>
      <c r="CB274" s="465"/>
      <c r="CC274" s="465"/>
      <c r="CD274" s="465"/>
      <c r="CE274" s="465"/>
      <c r="CF274" s="465"/>
      <c r="CG274" s="465"/>
      <c r="CH274" s="465"/>
      <c r="CI274" s="465"/>
      <c r="CJ274" s="465"/>
      <c r="CK274" s="465"/>
      <c r="CL274" s="465"/>
      <c r="CM274" s="466"/>
      <c r="CN274" s="198"/>
      <c r="CO274" s="198"/>
      <c r="CP274" s="198"/>
      <c r="CQ274" s="98"/>
    </row>
    <row r="275" spans="1:95" s="57" customFormat="1" ht="35.25" customHeight="1">
      <c r="A275" s="422"/>
      <c r="B275" s="423"/>
      <c r="C275" s="423"/>
      <c r="D275" s="423"/>
      <c r="E275" s="412"/>
      <c r="F275" s="413"/>
      <c r="G275" s="412"/>
      <c r="H275" s="412"/>
      <c r="I275" s="412"/>
      <c r="J275" s="412"/>
      <c r="K275" s="412"/>
      <c r="M275" s="196"/>
      <c r="N275" s="197"/>
      <c r="O275" s="197"/>
      <c r="P275" s="197"/>
      <c r="Q275" s="197"/>
      <c r="R275" s="197"/>
      <c r="S275" s="197"/>
      <c r="T275" s="464"/>
      <c r="U275" s="465"/>
      <c r="V275" s="465"/>
      <c r="W275" s="465"/>
      <c r="X275" s="465"/>
      <c r="Y275" s="465"/>
      <c r="Z275" s="465"/>
      <c r="AA275" s="465"/>
      <c r="AB275" s="465"/>
      <c r="AC275" s="465"/>
      <c r="AD275" s="465"/>
      <c r="AE275" s="465"/>
      <c r="AF275" s="465"/>
      <c r="AG275" s="465"/>
      <c r="AH275" s="465"/>
      <c r="AI275" s="465"/>
      <c r="AJ275" s="465"/>
      <c r="AK275" s="465"/>
      <c r="AL275" s="465"/>
      <c r="AM275" s="465"/>
      <c r="AN275" s="465"/>
      <c r="AO275" s="465"/>
      <c r="AP275" s="465"/>
      <c r="AQ275" s="466"/>
      <c r="AR275" s="464"/>
      <c r="AS275" s="465"/>
      <c r="AT275" s="465"/>
      <c r="AU275" s="465"/>
      <c r="AV275" s="465"/>
      <c r="AW275" s="465"/>
      <c r="AX275" s="465"/>
      <c r="AY275" s="465"/>
      <c r="AZ275" s="465"/>
      <c r="BA275" s="465"/>
      <c r="BB275" s="465"/>
      <c r="BC275" s="465"/>
      <c r="BD275" s="465"/>
      <c r="BE275" s="465"/>
      <c r="BF275" s="465"/>
      <c r="BG275" s="465"/>
      <c r="BH275" s="465"/>
      <c r="BI275" s="465"/>
      <c r="BJ275" s="465"/>
      <c r="BK275" s="465"/>
      <c r="BL275" s="465"/>
      <c r="BM275" s="465"/>
      <c r="BN275" s="465"/>
      <c r="BO275" s="466"/>
      <c r="BP275" s="464"/>
      <c r="BQ275" s="465"/>
      <c r="BR275" s="465"/>
      <c r="BS275" s="465"/>
      <c r="BT275" s="465"/>
      <c r="BU275" s="465"/>
      <c r="BV275" s="465"/>
      <c r="BW275" s="465"/>
      <c r="BX275" s="465"/>
      <c r="BY275" s="465"/>
      <c r="BZ275" s="465"/>
      <c r="CA275" s="465"/>
      <c r="CB275" s="465"/>
      <c r="CC275" s="465"/>
      <c r="CD275" s="465"/>
      <c r="CE275" s="465"/>
      <c r="CF275" s="465"/>
      <c r="CG275" s="465"/>
      <c r="CH275" s="465"/>
      <c r="CI275" s="465"/>
      <c r="CJ275" s="465"/>
      <c r="CK275" s="465"/>
      <c r="CL275" s="465"/>
      <c r="CM275" s="466"/>
      <c r="CN275" s="198"/>
      <c r="CO275" s="198"/>
      <c r="CP275" s="198"/>
      <c r="CQ275" s="98"/>
    </row>
    <row r="276" spans="1:95" s="67" customFormat="1" ht="30" customHeight="1">
      <c r="A276" s="416" t="s">
        <v>104</v>
      </c>
      <c r="B276" s="420">
        <v>2211</v>
      </c>
      <c r="C276" s="420">
        <v>323</v>
      </c>
      <c r="D276" s="420"/>
      <c r="E276" s="414">
        <f>E278</f>
        <v>1252283</v>
      </c>
      <c r="F276" s="421">
        <f t="shared" ref="F276:I276" si="172">F278</f>
        <v>1289808</v>
      </c>
      <c r="G276" s="414">
        <f t="shared" si="172"/>
        <v>1579000</v>
      </c>
      <c r="H276" s="414">
        <f t="shared" si="172"/>
        <v>1579000</v>
      </c>
      <c r="I276" s="414">
        <f t="shared" si="172"/>
        <v>1579000</v>
      </c>
      <c r="J276" s="414">
        <f>I276</f>
        <v>1579000</v>
      </c>
      <c r="K276" s="414" t="s">
        <v>60</v>
      </c>
      <c r="M276" s="196"/>
      <c r="N276" s="197"/>
      <c r="O276" s="197"/>
      <c r="P276" s="197"/>
      <c r="Q276" s="197"/>
      <c r="R276" s="197"/>
      <c r="S276" s="197"/>
      <c r="T276" s="464"/>
      <c r="U276" s="465"/>
      <c r="V276" s="465"/>
      <c r="W276" s="465"/>
      <c r="X276" s="465"/>
      <c r="Y276" s="465"/>
      <c r="Z276" s="465"/>
      <c r="AA276" s="465"/>
      <c r="AB276" s="465"/>
      <c r="AC276" s="465"/>
      <c r="AD276" s="465"/>
      <c r="AE276" s="465"/>
      <c r="AF276" s="465"/>
      <c r="AG276" s="465"/>
      <c r="AH276" s="465"/>
      <c r="AI276" s="465"/>
      <c r="AJ276" s="465"/>
      <c r="AK276" s="465"/>
      <c r="AL276" s="465"/>
      <c r="AM276" s="465"/>
      <c r="AN276" s="465"/>
      <c r="AO276" s="465"/>
      <c r="AP276" s="465"/>
      <c r="AQ276" s="466"/>
      <c r="AR276" s="464"/>
      <c r="AS276" s="465"/>
      <c r="AT276" s="465"/>
      <c r="AU276" s="465"/>
      <c r="AV276" s="465"/>
      <c r="AW276" s="465"/>
      <c r="AX276" s="465"/>
      <c r="AY276" s="465"/>
      <c r="AZ276" s="465"/>
      <c r="BA276" s="465"/>
      <c r="BB276" s="465"/>
      <c r="BC276" s="465"/>
      <c r="BD276" s="465"/>
      <c r="BE276" s="465"/>
      <c r="BF276" s="465"/>
      <c r="BG276" s="465"/>
      <c r="BH276" s="465"/>
      <c r="BI276" s="465"/>
      <c r="BJ276" s="465"/>
      <c r="BK276" s="465"/>
      <c r="BL276" s="465"/>
      <c r="BM276" s="465"/>
      <c r="BN276" s="465"/>
      <c r="BO276" s="466"/>
      <c r="BP276" s="464"/>
      <c r="BQ276" s="465"/>
      <c r="BR276" s="465"/>
      <c r="BS276" s="465"/>
      <c r="BT276" s="465"/>
      <c r="BU276" s="465"/>
      <c r="BV276" s="465"/>
      <c r="BW276" s="465"/>
      <c r="BX276" s="465"/>
      <c r="BY276" s="465"/>
      <c r="BZ276" s="465"/>
      <c r="CA276" s="465"/>
      <c r="CB276" s="465"/>
      <c r="CC276" s="465"/>
      <c r="CD276" s="465"/>
      <c r="CE276" s="465"/>
      <c r="CF276" s="465"/>
      <c r="CG276" s="465"/>
      <c r="CH276" s="465"/>
      <c r="CI276" s="465"/>
      <c r="CJ276" s="465"/>
      <c r="CK276" s="465"/>
      <c r="CL276" s="465"/>
      <c r="CM276" s="466"/>
      <c r="CN276" s="198"/>
      <c r="CO276" s="198"/>
      <c r="CP276" s="198"/>
      <c r="CQ276" s="98"/>
    </row>
    <row r="277" spans="1:95" s="67" customFormat="1" ht="36" customHeight="1">
      <c r="A277" s="416"/>
      <c r="B277" s="420"/>
      <c r="C277" s="420"/>
      <c r="D277" s="420"/>
      <c r="E277" s="414"/>
      <c r="F277" s="421"/>
      <c r="G277" s="414"/>
      <c r="H277" s="414"/>
      <c r="I277" s="414"/>
      <c r="J277" s="414"/>
      <c r="K277" s="414"/>
      <c r="M277" s="196"/>
      <c r="N277" s="197"/>
      <c r="O277" s="197"/>
      <c r="P277" s="197"/>
      <c r="Q277" s="197"/>
      <c r="R277" s="197"/>
      <c r="S277" s="197"/>
      <c r="T277" s="464"/>
      <c r="U277" s="465"/>
      <c r="V277" s="465"/>
      <c r="W277" s="465"/>
      <c r="X277" s="465"/>
      <c r="Y277" s="465"/>
      <c r="Z277" s="465"/>
      <c r="AA277" s="465"/>
      <c r="AB277" s="465"/>
      <c r="AC277" s="465"/>
      <c r="AD277" s="465"/>
      <c r="AE277" s="465"/>
      <c r="AF277" s="465"/>
      <c r="AG277" s="465"/>
      <c r="AH277" s="465"/>
      <c r="AI277" s="465"/>
      <c r="AJ277" s="465"/>
      <c r="AK277" s="465"/>
      <c r="AL277" s="465"/>
      <c r="AM277" s="465"/>
      <c r="AN277" s="465"/>
      <c r="AO277" s="465"/>
      <c r="AP277" s="465"/>
      <c r="AQ277" s="466"/>
      <c r="AR277" s="464"/>
      <c r="AS277" s="465"/>
      <c r="AT277" s="465"/>
      <c r="AU277" s="465"/>
      <c r="AV277" s="465"/>
      <c r="AW277" s="465"/>
      <c r="AX277" s="465"/>
      <c r="AY277" s="465"/>
      <c r="AZ277" s="465"/>
      <c r="BA277" s="465"/>
      <c r="BB277" s="465"/>
      <c r="BC277" s="465"/>
      <c r="BD277" s="465"/>
      <c r="BE277" s="465"/>
      <c r="BF277" s="465"/>
      <c r="BG277" s="465"/>
      <c r="BH277" s="465"/>
      <c r="BI277" s="465"/>
      <c r="BJ277" s="465"/>
      <c r="BK277" s="465"/>
      <c r="BL277" s="465"/>
      <c r="BM277" s="465"/>
      <c r="BN277" s="465"/>
      <c r="BO277" s="466"/>
      <c r="BP277" s="464"/>
      <c r="BQ277" s="465"/>
      <c r="BR277" s="465"/>
      <c r="BS277" s="465"/>
      <c r="BT277" s="465"/>
      <c r="BU277" s="465"/>
      <c r="BV277" s="465"/>
      <c r="BW277" s="465"/>
      <c r="BX277" s="465"/>
      <c r="BY277" s="465"/>
      <c r="BZ277" s="465"/>
      <c r="CA277" s="465"/>
      <c r="CB277" s="465"/>
      <c r="CC277" s="465"/>
      <c r="CD277" s="465"/>
      <c r="CE277" s="465"/>
      <c r="CF277" s="465"/>
      <c r="CG277" s="465"/>
      <c r="CH277" s="465"/>
      <c r="CI277" s="465"/>
      <c r="CJ277" s="465"/>
      <c r="CK277" s="465"/>
      <c r="CL277" s="465"/>
      <c r="CM277" s="466"/>
      <c r="CN277" s="198"/>
      <c r="CO277" s="198"/>
      <c r="CP277" s="198"/>
      <c r="CQ277" s="98"/>
    </row>
    <row r="278" spans="1:95" s="57" customFormat="1" ht="39" customHeight="1">
      <c r="A278" s="69" t="s">
        <v>209</v>
      </c>
      <c r="B278" s="79"/>
      <c r="C278" s="105" t="s">
        <v>185</v>
      </c>
      <c r="D278" s="76">
        <v>263</v>
      </c>
      <c r="E278" s="82">
        <v>1252283</v>
      </c>
      <c r="F278" s="163">
        <v>1289808</v>
      </c>
      <c r="G278" s="82">
        <v>1579000</v>
      </c>
      <c r="H278" s="82">
        <v>1579000</v>
      </c>
      <c r="I278" s="82">
        <v>1579000</v>
      </c>
      <c r="J278" s="82">
        <f>I278</f>
        <v>1579000</v>
      </c>
      <c r="K278" s="173" t="s">
        <v>3</v>
      </c>
      <c r="L278" s="111"/>
      <c r="M278" s="196"/>
      <c r="N278" s="197"/>
      <c r="O278" s="197"/>
      <c r="P278" s="197"/>
      <c r="Q278" s="197"/>
      <c r="R278" s="197"/>
      <c r="S278" s="197"/>
      <c r="T278" s="464"/>
      <c r="U278" s="465"/>
      <c r="V278" s="465"/>
      <c r="W278" s="465"/>
      <c r="X278" s="465"/>
      <c r="Y278" s="465"/>
      <c r="Z278" s="465"/>
      <c r="AA278" s="465"/>
      <c r="AB278" s="465"/>
      <c r="AC278" s="465"/>
      <c r="AD278" s="465"/>
      <c r="AE278" s="465"/>
      <c r="AF278" s="465"/>
      <c r="AG278" s="465"/>
      <c r="AH278" s="465"/>
      <c r="AI278" s="465"/>
      <c r="AJ278" s="465"/>
      <c r="AK278" s="465"/>
      <c r="AL278" s="465"/>
      <c r="AM278" s="465"/>
      <c r="AN278" s="465"/>
      <c r="AO278" s="465"/>
      <c r="AP278" s="465"/>
      <c r="AQ278" s="466"/>
      <c r="AR278" s="464"/>
      <c r="AS278" s="465"/>
      <c r="AT278" s="465"/>
      <c r="AU278" s="465"/>
      <c r="AV278" s="465"/>
      <c r="AW278" s="465"/>
      <c r="AX278" s="465"/>
      <c r="AY278" s="465"/>
      <c r="AZ278" s="465"/>
      <c r="BA278" s="465"/>
      <c r="BB278" s="465"/>
      <c r="BC278" s="465"/>
      <c r="BD278" s="465"/>
      <c r="BE278" s="465"/>
      <c r="BF278" s="465"/>
      <c r="BG278" s="465"/>
      <c r="BH278" s="465"/>
      <c r="BI278" s="465"/>
      <c r="BJ278" s="465"/>
      <c r="BK278" s="465"/>
      <c r="BL278" s="465"/>
      <c r="BM278" s="465"/>
      <c r="BN278" s="465"/>
      <c r="BO278" s="466"/>
      <c r="BP278" s="464"/>
      <c r="BQ278" s="465"/>
      <c r="BR278" s="465"/>
      <c r="BS278" s="465"/>
      <c r="BT278" s="465"/>
      <c r="BU278" s="465"/>
      <c r="BV278" s="465"/>
      <c r="BW278" s="465"/>
      <c r="BX278" s="465"/>
      <c r="BY278" s="465"/>
      <c r="BZ278" s="465"/>
      <c r="CA278" s="465"/>
      <c r="CB278" s="465"/>
      <c r="CC278" s="465"/>
      <c r="CD278" s="465"/>
      <c r="CE278" s="465"/>
      <c r="CF278" s="465"/>
      <c r="CG278" s="465"/>
      <c r="CH278" s="465"/>
      <c r="CI278" s="465"/>
      <c r="CJ278" s="465"/>
      <c r="CK278" s="465"/>
      <c r="CL278" s="465"/>
      <c r="CM278" s="466"/>
      <c r="CN278" s="198"/>
      <c r="CO278" s="198"/>
      <c r="CP278" s="198"/>
      <c r="CQ278" s="98"/>
    </row>
    <row r="279" spans="1:95" s="516" customFormat="1" ht="30" customHeight="1">
      <c r="A279" s="505" t="s">
        <v>62</v>
      </c>
      <c r="B279" s="506" t="s">
        <v>232</v>
      </c>
      <c r="C279" s="506"/>
      <c r="D279" s="506"/>
      <c r="E279" s="507">
        <f>E280</f>
        <v>3724757.09</v>
      </c>
      <c r="F279" s="507">
        <f t="shared" ref="F279" si="173">F280</f>
        <v>3724757.09</v>
      </c>
      <c r="G279" s="507">
        <f t="shared" ref="G279" si="174">G280</f>
        <v>3684545.2800000003</v>
      </c>
      <c r="H279" s="507">
        <f t="shared" ref="H279" si="175">H280</f>
        <v>3684545.2800000003</v>
      </c>
      <c r="I279" s="507">
        <f t="shared" ref="I279:K279" si="176">I280</f>
        <v>3684545.2800000003</v>
      </c>
      <c r="J279" s="507">
        <f t="shared" si="176"/>
        <v>3684545.2800000003</v>
      </c>
      <c r="K279" s="507">
        <f t="shared" si="176"/>
        <v>3684545.2800000003</v>
      </c>
      <c r="L279" s="508"/>
      <c r="M279" s="509"/>
      <c r="N279" s="510"/>
      <c r="O279" s="510"/>
      <c r="P279" s="510"/>
      <c r="Q279" s="510"/>
      <c r="R279" s="510"/>
      <c r="S279" s="510"/>
      <c r="T279" s="511"/>
      <c r="U279" s="512"/>
      <c r="V279" s="512"/>
      <c r="W279" s="512"/>
      <c r="X279" s="512"/>
      <c r="Y279" s="512"/>
      <c r="Z279" s="512"/>
      <c r="AA279" s="512"/>
      <c r="AB279" s="512"/>
      <c r="AC279" s="512"/>
      <c r="AD279" s="512"/>
      <c r="AE279" s="512"/>
      <c r="AF279" s="512"/>
      <c r="AG279" s="512"/>
      <c r="AH279" s="512"/>
      <c r="AI279" s="512"/>
      <c r="AJ279" s="512"/>
      <c r="AK279" s="512"/>
      <c r="AL279" s="512"/>
      <c r="AM279" s="512"/>
      <c r="AN279" s="512"/>
      <c r="AO279" s="512"/>
      <c r="AP279" s="512"/>
      <c r="AQ279" s="513"/>
      <c r="AR279" s="511"/>
      <c r="AS279" s="512"/>
      <c r="AT279" s="512"/>
      <c r="AU279" s="512"/>
      <c r="AV279" s="512"/>
      <c r="AW279" s="512"/>
      <c r="AX279" s="512"/>
      <c r="AY279" s="512"/>
      <c r="AZ279" s="512"/>
      <c r="BA279" s="512"/>
      <c r="BB279" s="512"/>
      <c r="BC279" s="512"/>
      <c r="BD279" s="512"/>
      <c r="BE279" s="512"/>
      <c r="BF279" s="512"/>
      <c r="BG279" s="512"/>
      <c r="BH279" s="512"/>
      <c r="BI279" s="512"/>
      <c r="BJ279" s="512"/>
      <c r="BK279" s="512"/>
      <c r="BL279" s="512"/>
      <c r="BM279" s="512"/>
      <c r="BN279" s="512"/>
      <c r="BO279" s="513"/>
      <c r="BP279" s="511"/>
      <c r="BQ279" s="512"/>
      <c r="BR279" s="512"/>
      <c r="BS279" s="512"/>
      <c r="BT279" s="512"/>
      <c r="BU279" s="512"/>
      <c r="BV279" s="512"/>
      <c r="BW279" s="512"/>
      <c r="BX279" s="512"/>
      <c r="BY279" s="512"/>
      <c r="BZ279" s="512"/>
      <c r="CA279" s="512"/>
      <c r="CB279" s="512"/>
      <c r="CC279" s="512"/>
      <c r="CD279" s="512"/>
      <c r="CE279" s="512"/>
      <c r="CF279" s="512"/>
      <c r="CG279" s="512"/>
      <c r="CH279" s="512"/>
      <c r="CI279" s="512"/>
      <c r="CJ279" s="512"/>
      <c r="CK279" s="512"/>
      <c r="CL279" s="512"/>
      <c r="CM279" s="513"/>
      <c r="CN279" s="514"/>
      <c r="CO279" s="514"/>
      <c r="CP279" s="514"/>
      <c r="CQ279" s="515"/>
    </row>
    <row r="280" spans="1:95" s="57" customFormat="1" ht="38.25" customHeight="1">
      <c r="A280" s="59" t="s">
        <v>231</v>
      </c>
      <c r="B280" s="79">
        <v>2600</v>
      </c>
      <c r="C280" s="79" t="s">
        <v>60</v>
      </c>
      <c r="D280" s="76"/>
      <c r="E280" s="81">
        <f>E282</f>
        <v>3724757.09</v>
      </c>
      <c r="F280" s="166">
        <f t="shared" ref="F280:J280" si="177">F282</f>
        <v>3724757.09</v>
      </c>
      <c r="G280" s="81">
        <f t="shared" si="177"/>
        <v>3684545.2800000003</v>
      </c>
      <c r="H280" s="81">
        <f t="shared" si="177"/>
        <v>3684545.2800000003</v>
      </c>
      <c r="I280" s="81">
        <f t="shared" si="177"/>
        <v>3684545.2800000003</v>
      </c>
      <c r="J280" s="81">
        <f t="shared" si="177"/>
        <v>3684545.2800000003</v>
      </c>
      <c r="K280" s="172">
        <f t="shared" ref="K280" si="178">K282</f>
        <v>3684545.2800000003</v>
      </c>
      <c r="M280" s="196"/>
      <c r="N280" s="197"/>
      <c r="O280" s="197"/>
      <c r="P280" s="197"/>
      <c r="Q280" s="197"/>
      <c r="R280" s="197"/>
      <c r="S280" s="197"/>
      <c r="T280" s="464"/>
      <c r="U280" s="465"/>
      <c r="V280" s="465"/>
      <c r="W280" s="465"/>
      <c r="X280" s="465"/>
      <c r="Y280" s="465"/>
      <c r="Z280" s="465"/>
      <c r="AA280" s="465"/>
      <c r="AB280" s="465"/>
      <c r="AC280" s="465"/>
      <c r="AD280" s="465"/>
      <c r="AE280" s="465"/>
      <c r="AF280" s="465"/>
      <c r="AG280" s="465"/>
      <c r="AH280" s="465"/>
      <c r="AI280" s="465"/>
      <c r="AJ280" s="465"/>
      <c r="AK280" s="465"/>
      <c r="AL280" s="465"/>
      <c r="AM280" s="465"/>
      <c r="AN280" s="465"/>
      <c r="AO280" s="465"/>
      <c r="AP280" s="465"/>
      <c r="AQ280" s="466"/>
      <c r="AR280" s="464"/>
      <c r="AS280" s="465"/>
      <c r="AT280" s="465"/>
      <c r="AU280" s="465"/>
      <c r="AV280" s="465"/>
      <c r="AW280" s="465"/>
      <c r="AX280" s="465"/>
      <c r="AY280" s="465"/>
      <c r="AZ280" s="465"/>
      <c r="BA280" s="465"/>
      <c r="BB280" s="465"/>
      <c r="BC280" s="465"/>
      <c r="BD280" s="465"/>
      <c r="BE280" s="465"/>
      <c r="BF280" s="465"/>
      <c r="BG280" s="465"/>
      <c r="BH280" s="465"/>
      <c r="BI280" s="465"/>
      <c r="BJ280" s="465"/>
      <c r="BK280" s="465"/>
      <c r="BL280" s="465"/>
      <c r="BM280" s="465"/>
      <c r="BN280" s="465"/>
      <c r="BO280" s="466"/>
      <c r="BP280" s="464"/>
      <c r="BQ280" s="465"/>
      <c r="BR280" s="465"/>
      <c r="BS280" s="465"/>
      <c r="BT280" s="465"/>
      <c r="BU280" s="465"/>
      <c r="BV280" s="465"/>
      <c r="BW280" s="465"/>
      <c r="BX280" s="465"/>
      <c r="BY280" s="465"/>
      <c r="BZ280" s="465"/>
      <c r="CA280" s="465"/>
      <c r="CB280" s="465"/>
      <c r="CC280" s="465"/>
      <c r="CD280" s="465"/>
      <c r="CE280" s="465"/>
      <c r="CF280" s="465"/>
      <c r="CG280" s="465"/>
      <c r="CH280" s="465"/>
      <c r="CI280" s="465"/>
      <c r="CJ280" s="465"/>
      <c r="CK280" s="465"/>
      <c r="CL280" s="465"/>
      <c r="CM280" s="466"/>
      <c r="CN280" s="198"/>
      <c r="CO280" s="198"/>
      <c r="CP280" s="198"/>
      <c r="CQ280" s="98"/>
    </row>
    <row r="281" spans="1:95" s="67" customFormat="1" ht="30" customHeight="1">
      <c r="A281" s="148" t="s">
        <v>230</v>
      </c>
      <c r="B281" s="76"/>
      <c r="C281" s="76"/>
      <c r="D281" s="76"/>
      <c r="E281" s="82"/>
      <c r="F281" s="163"/>
      <c r="G281" s="82"/>
      <c r="H281" s="82"/>
      <c r="I281" s="82"/>
      <c r="J281" s="78"/>
      <c r="K281" s="177"/>
      <c r="M281" s="196"/>
      <c r="N281" s="197"/>
      <c r="O281" s="197"/>
      <c r="P281" s="197"/>
      <c r="Q281" s="197"/>
      <c r="R281" s="197"/>
      <c r="S281" s="197"/>
      <c r="T281" s="464"/>
      <c r="U281" s="465"/>
      <c r="V281" s="465"/>
      <c r="W281" s="465"/>
      <c r="X281" s="465"/>
      <c r="Y281" s="465"/>
      <c r="Z281" s="465"/>
      <c r="AA281" s="465"/>
      <c r="AB281" s="465"/>
      <c r="AC281" s="465"/>
      <c r="AD281" s="465"/>
      <c r="AE281" s="465"/>
      <c r="AF281" s="465"/>
      <c r="AG281" s="465"/>
      <c r="AH281" s="465"/>
      <c r="AI281" s="465"/>
      <c r="AJ281" s="465"/>
      <c r="AK281" s="465"/>
      <c r="AL281" s="465"/>
      <c r="AM281" s="465"/>
      <c r="AN281" s="465"/>
      <c r="AO281" s="465"/>
      <c r="AP281" s="465"/>
      <c r="AQ281" s="466"/>
      <c r="AR281" s="464"/>
      <c r="AS281" s="465"/>
      <c r="AT281" s="465"/>
      <c r="AU281" s="465"/>
      <c r="AV281" s="465"/>
      <c r="AW281" s="465"/>
      <c r="AX281" s="465"/>
      <c r="AY281" s="465"/>
      <c r="AZ281" s="465"/>
      <c r="BA281" s="465"/>
      <c r="BB281" s="465"/>
      <c r="BC281" s="465"/>
      <c r="BD281" s="465"/>
      <c r="BE281" s="465"/>
      <c r="BF281" s="465"/>
      <c r="BG281" s="465"/>
      <c r="BH281" s="465"/>
      <c r="BI281" s="465"/>
      <c r="BJ281" s="465"/>
      <c r="BK281" s="465"/>
      <c r="BL281" s="465"/>
      <c r="BM281" s="465"/>
      <c r="BN281" s="465"/>
      <c r="BO281" s="466"/>
      <c r="BP281" s="464"/>
      <c r="BQ281" s="465"/>
      <c r="BR281" s="465"/>
      <c r="BS281" s="465"/>
      <c r="BT281" s="465"/>
      <c r="BU281" s="465"/>
      <c r="BV281" s="465"/>
      <c r="BW281" s="465"/>
      <c r="BX281" s="465"/>
      <c r="BY281" s="465"/>
      <c r="BZ281" s="465"/>
      <c r="CA281" s="465"/>
      <c r="CB281" s="465"/>
      <c r="CC281" s="465"/>
      <c r="CD281" s="465"/>
      <c r="CE281" s="465"/>
      <c r="CF281" s="465"/>
      <c r="CG281" s="465"/>
      <c r="CH281" s="465"/>
      <c r="CI281" s="465"/>
      <c r="CJ281" s="465"/>
      <c r="CK281" s="465"/>
      <c r="CL281" s="465"/>
      <c r="CM281" s="466"/>
      <c r="CN281" s="198"/>
      <c r="CO281" s="198"/>
      <c r="CP281" s="198"/>
      <c r="CQ281" s="98"/>
    </row>
    <row r="282" spans="1:95" s="57" customFormat="1" ht="32.25" customHeight="1">
      <c r="A282" s="116" t="s">
        <v>259</v>
      </c>
      <c r="B282" s="93">
        <v>2640</v>
      </c>
      <c r="C282" s="93">
        <v>244</v>
      </c>
      <c r="D282" s="93"/>
      <c r="E282" s="94">
        <f>SUM(E285:E321)</f>
        <v>3724757.09</v>
      </c>
      <c r="F282" s="166">
        <f t="shared" ref="F282" si="179">SUM(F285:F321)</f>
        <v>3724757.09</v>
      </c>
      <c r="G282" s="94">
        <f>SUM(G283:G286)</f>
        <v>3684545.2800000003</v>
      </c>
      <c r="H282" s="94">
        <f>SUM(H285:H321)</f>
        <v>3684545.2800000003</v>
      </c>
      <c r="I282" s="94">
        <f t="shared" ref="I282:J282" si="180">SUM(I285:I321)</f>
        <v>3684545.2800000003</v>
      </c>
      <c r="J282" s="94">
        <f t="shared" si="180"/>
        <v>3684545.2800000003</v>
      </c>
      <c r="K282" s="176">
        <f t="shared" ref="K282" si="181">SUM(K285:K321)</f>
        <v>3684545.2800000003</v>
      </c>
      <c r="L282" s="111"/>
      <c r="M282" s="196"/>
      <c r="N282" s="197"/>
      <c r="O282" s="197"/>
      <c r="P282" s="197"/>
      <c r="Q282" s="197"/>
      <c r="R282" s="197"/>
      <c r="S282" s="197"/>
      <c r="T282" s="464"/>
      <c r="U282" s="465"/>
      <c r="V282" s="465"/>
      <c r="W282" s="465"/>
      <c r="X282" s="465"/>
      <c r="Y282" s="465"/>
      <c r="Z282" s="465"/>
      <c r="AA282" s="465"/>
      <c r="AB282" s="465"/>
      <c r="AC282" s="465"/>
      <c r="AD282" s="465"/>
      <c r="AE282" s="465"/>
      <c r="AF282" s="465"/>
      <c r="AG282" s="465"/>
      <c r="AH282" s="465"/>
      <c r="AI282" s="465"/>
      <c r="AJ282" s="465"/>
      <c r="AK282" s="465"/>
      <c r="AL282" s="465"/>
      <c r="AM282" s="465"/>
      <c r="AN282" s="465"/>
      <c r="AO282" s="465"/>
      <c r="AP282" s="465"/>
      <c r="AQ282" s="466"/>
      <c r="AR282" s="464"/>
      <c r="AS282" s="465"/>
      <c r="AT282" s="465"/>
      <c r="AU282" s="465"/>
      <c r="AV282" s="465"/>
      <c r="AW282" s="465"/>
      <c r="AX282" s="465"/>
      <c r="AY282" s="465"/>
      <c r="AZ282" s="465"/>
      <c r="BA282" s="465"/>
      <c r="BB282" s="465"/>
      <c r="BC282" s="465"/>
      <c r="BD282" s="465"/>
      <c r="BE282" s="465"/>
      <c r="BF282" s="465"/>
      <c r="BG282" s="465"/>
      <c r="BH282" s="465"/>
      <c r="BI282" s="465"/>
      <c r="BJ282" s="465"/>
      <c r="BK282" s="465"/>
      <c r="BL282" s="465"/>
      <c r="BM282" s="465"/>
      <c r="BN282" s="465"/>
      <c r="BO282" s="466"/>
      <c r="BP282" s="464"/>
      <c r="BQ282" s="465"/>
      <c r="BR282" s="465"/>
      <c r="BS282" s="465"/>
      <c r="BT282" s="465"/>
      <c r="BU282" s="465"/>
      <c r="BV282" s="465"/>
      <c r="BW282" s="465"/>
      <c r="BX282" s="465"/>
      <c r="BY282" s="465"/>
      <c r="BZ282" s="465"/>
      <c r="CA282" s="465"/>
      <c r="CB282" s="465"/>
      <c r="CC282" s="465"/>
      <c r="CD282" s="465"/>
      <c r="CE282" s="465"/>
      <c r="CF282" s="465"/>
      <c r="CG282" s="465"/>
      <c r="CH282" s="465"/>
      <c r="CI282" s="465"/>
      <c r="CJ282" s="465"/>
      <c r="CK282" s="465"/>
      <c r="CL282" s="465"/>
      <c r="CM282" s="466"/>
      <c r="CN282" s="198"/>
      <c r="CO282" s="198"/>
      <c r="CP282" s="198"/>
      <c r="CQ282" s="98"/>
    </row>
    <row r="283" spans="1:95" s="57" customFormat="1" ht="32.25" customHeight="1">
      <c r="A283" s="230" t="s">
        <v>199</v>
      </c>
      <c r="B283" s="229"/>
      <c r="C283" s="105" t="s">
        <v>182</v>
      </c>
      <c r="D283" s="228">
        <v>225</v>
      </c>
      <c r="E283" s="227"/>
      <c r="F283" s="226"/>
      <c r="G283" s="227">
        <v>0</v>
      </c>
      <c r="H283" s="227">
        <v>0</v>
      </c>
      <c r="I283" s="227">
        <v>0</v>
      </c>
      <c r="J283" s="227">
        <v>0</v>
      </c>
      <c r="K283" s="227">
        <v>0</v>
      </c>
      <c r="L283" s="111"/>
      <c r="M283" s="196"/>
      <c r="N283" s="197"/>
      <c r="O283" s="197"/>
      <c r="P283" s="197"/>
      <c r="Q283" s="197"/>
      <c r="R283" s="197"/>
      <c r="S283" s="197"/>
      <c r="T283" s="223"/>
      <c r="U283" s="224"/>
      <c r="V283" s="224"/>
      <c r="W283" s="224"/>
      <c r="X283" s="224"/>
      <c r="Y283" s="224"/>
      <c r="Z283" s="224"/>
      <c r="AA283" s="224"/>
      <c r="AB283" s="224"/>
      <c r="AC283" s="224"/>
      <c r="AD283" s="224"/>
      <c r="AE283" s="224"/>
      <c r="AF283" s="224"/>
      <c r="AG283" s="224"/>
      <c r="AH283" s="224"/>
      <c r="AI283" s="224"/>
      <c r="AJ283" s="224"/>
      <c r="AK283" s="224"/>
      <c r="AL283" s="224"/>
      <c r="AM283" s="224"/>
      <c r="AN283" s="224"/>
      <c r="AO283" s="224"/>
      <c r="AP283" s="224"/>
      <c r="AQ283" s="225"/>
      <c r="AR283" s="223"/>
      <c r="AS283" s="224"/>
      <c r="AT283" s="224"/>
      <c r="AU283" s="224"/>
      <c r="AV283" s="224"/>
      <c r="AW283" s="224"/>
      <c r="AX283" s="224"/>
      <c r="AY283" s="224"/>
      <c r="AZ283" s="224"/>
      <c r="BA283" s="224"/>
      <c r="BB283" s="224"/>
      <c r="BC283" s="224"/>
      <c r="BD283" s="224"/>
      <c r="BE283" s="224"/>
      <c r="BF283" s="224"/>
      <c r="BG283" s="224"/>
      <c r="BH283" s="224"/>
      <c r="BI283" s="224"/>
      <c r="BJ283" s="224"/>
      <c r="BK283" s="224"/>
      <c r="BL283" s="224"/>
      <c r="BM283" s="224"/>
      <c r="BN283" s="224"/>
      <c r="BO283" s="225"/>
      <c r="BP283" s="223"/>
      <c r="BQ283" s="224"/>
      <c r="BR283" s="224"/>
      <c r="BS283" s="224"/>
      <c r="BT283" s="224"/>
      <c r="BU283" s="224"/>
      <c r="BV283" s="224"/>
      <c r="BW283" s="224"/>
      <c r="BX283" s="224"/>
      <c r="BY283" s="224"/>
      <c r="BZ283" s="224"/>
      <c r="CA283" s="224"/>
      <c r="CB283" s="224"/>
      <c r="CC283" s="224"/>
      <c r="CD283" s="224"/>
      <c r="CE283" s="224"/>
      <c r="CF283" s="224"/>
      <c r="CG283" s="224"/>
      <c r="CH283" s="224"/>
      <c r="CI283" s="224"/>
      <c r="CJ283" s="224"/>
      <c r="CK283" s="224"/>
      <c r="CL283" s="224"/>
      <c r="CM283" s="225"/>
      <c r="CN283" s="198"/>
      <c r="CO283" s="198"/>
      <c r="CP283" s="198"/>
      <c r="CQ283" s="98"/>
    </row>
    <row r="284" spans="1:95" s="57" customFormat="1" ht="32.25" customHeight="1">
      <c r="A284" s="230" t="s">
        <v>200</v>
      </c>
      <c r="B284" s="229"/>
      <c r="C284" s="105" t="s">
        <v>182</v>
      </c>
      <c r="D284" s="228">
        <v>310</v>
      </c>
      <c r="E284" s="227"/>
      <c r="F284" s="226"/>
      <c r="G284" s="227">
        <v>0</v>
      </c>
      <c r="H284" s="227">
        <v>0</v>
      </c>
      <c r="I284" s="227">
        <v>0</v>
      </c>
      <c r="J284" s="227">
        <v>0</v>
      </c>
      <c r="K284" s="227">
        <v>0</v>
      </c>
      <c r="L284" s="111"/>
      <c r="M284" s="196"/>
      <c r="N284" s="197"/>
      <c r="O284" s="197"/>
      <c r="P284" s="197"/>
      <c r="Q284" s="197"/>
      <c r="R284" s="197"/>
      <c r="S284" s="197"/>
      <c r="T284" s="223"/>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5"/>
      <c r="AR284" s="223"/>
      <c r="AS284" s="224"/>
      <c r="AT284" s="224"/>
      <c r="AU284" s="224"/>
      <c r="AV284" s="224"/>
      <c r="AW284" s="224"/>
      <c r="AX284" s="224"/>
      <c r="AY284" s="224"/>
      <c r="AZ284" s="224"/>
      <c r="BA284" s="224"/>
      <c r="BB284" s="224"/>
      <c r="BC284" s="224"/>
      <c r="BD284" s="224"/>
      <c r="BE284" s="224"/>
      <c r="BF284" s="224"/>
      <c r="BG284" s="224"/>
      <c r="BH284" s="224"/>
      <c r="BI284" s="224"/>
      <c r="BJ284" s="224"/>
      <c r="BK284" s="224"/>
      <c r="BL284" s="224"/>
      <c r="BM284" s="224"/>
      <c r="BN284" s="224"/>
      <c r="BO284" s="225"/>
      <c r="BP284" s="223"/>
      <c r="BQ284" s="224"/>
      <c r="BR284" s="224"/>
      <c r="BS284" s="224"/>
      <c r="BT284" s="224"/>
      <c r="BU284" s="224"/>
      <c r="BV284" s="224"/>
      <c r="BW284" s="224"/>
      <c r="BX284" s="224"/>
      <c r="BY284" s="224"/>
      <c r="BZ284" s="224"/>
      <c r="CA284" s="224"/>
      <c r="CB284" s="224"/>
      <c r="CC284" s="224"/>
      <c r="CD284" s="224"/>
      <c r="CE284" s="224"/>
      <c r="CF284" s="224"/>
      <c r="CG284" s="224"/>
      <c r="CH284" s="224"/>
      <c r="CI284" s="224"/>
      <c r="CJ284" s="224"/>
      <c r="CK284" s="224"/>
      <c r="CL284" s="224"/>
      <c r="CM284" s="225"/>
      <c r="CN284" s="198"/>
      <c r="CO284" s="198"/>
      <c r="CP284" s="198"/>
      <c r="CQ284" s="98"/>
    </row>
    <row r="285" spans="1:95" s="107" customFormat="1" ht="34.5" customHeight="1">
      <c r="A285" s="132" t="s">
        <v>202</v>
      </c>
      <c r="B285" s="104"/>
      <c r="C285" s="105" t="s">
        <v>182</v>
      </c>
      <c r="D285" s="104">
        <v>342</v>
      </c>
      <c r="E285" s="106">
        <v>3603378.75</v>
      </c>
      <c r="F285" s="106">
        <v>3603378.75</v>
      </c>
      <c r="G285" s="113">
        <v>3610854.37</v>
      </c>
      <c r="H285" s="114">
        <f>G285</f>
        <v>3610854.37</v>
      </c>
      <c r="I285" s="114">
        <f>H285</f>
        <v>3610854.37</v>
      </c>
      <c r="J285" s="114">
        <f t="shared" ref="I285:K286" si="182">I285</f>
        <v>3610854.37</v>
      </c>
      <c r="K285" s="114">
        <f t="shared" si="182"/>
        <v>3610854.37</v>
      </c>
      <c r="L285" s="110"/>
      <c r="M285" s="196"/>
      <c r="N285" s="197"/>
      <c r="O285" s="197"/>
      <c r="P285" s="197"/>
      <c r="Q285" s="197"/>
      <c r="R285" s="197"/>
      <c r="S285" s="197"/>
      <c r="T285" s="464">
        <f>G77+G147+G152+G205+G228</f>
        <v>66031049.109999999</v>
      </c>
      <c r="U285" s="465"/>
      <c r="V285" s="465"/>
      <c r="W285" s="465"/>
      <c r="X285" s="465"/>
      <c r="Y285" s="465"/>
      <c r="Z285" s="465"/>
      <c r="AA285" s="465"/>
      <c r="AB285" s="465"/>
      <c r="AC285" s="465"/>
      <c r="AD285" s="465"/>
      <c r="AE285" s="465"/>
      <c r="AF285" s="465"/>
      <c r="AG285" s="465"/>
      <c r="AH285" s="465"/>
      <c r="AI285" s="465"/>
      <c r="AJ285" s="465"/>
      <c r="AK285" s="465"/>
      <c r="AL285" s="465"/>
      <c r="AM285" s="465"/>
      <c r="AN285" s="465"/>
      <c r="AO285" s="465"/>
      <c r="AP285" s="465"/>
      <c r="AQ285" s="466"/>
      <c r="AR285" s="464">
        <f>5162789.1</f>
        <v>5162789.0999999996</v>
      </c>
      <c r="AS285" s="465"/>
      <c r="AT285" s="465"/>
      <c r="AU285" s="465"/>
      <c r="AV285" s="465"/>
      <c r="AW285" s="465"/>
      <c r="AX285" s="465"/>
      <c r="AY285" s="465"/>
      <c r="AZ285" s="465"/>
      <c r="BA285" s="465"/>
      <c r="BB285" s="465"/>
      <c r="BC285" s="465"/>
      <c r="BD285" s="465"/>
      <c r="BE285" s="465"/>
      <c r="BF285" s="465"/>
      <c r="BG285" s="465"/>
      <c r="BH285" s="465"/>
      <c r="BI285" s="465"/>
      <c r="BJ285" s="465"/>
      <c r="BK285" s="465"/>
      <c r="BL285" s="465"/>
      <c r="BM285" s="465"/>
      <c r="BN285" s="465"/>
      <c r="BO285" s="466"/>
      <c r="BP285" s="464">
        <f>T285-AR285</f>
        <v>60868260.009999998</v>
      </c>
      <c r="BQ285" s="465"/>
      <c r="BR285" s="465"/>
      <c r="BS285" s="465"/>
      <c r="BT285" s="465"/>
      <c r="BU285" s="465"/>
      <c r="BV285" s="465"/>
      <c r="BW285" s="465"/>
      <c r="BX285" s="465"/>
      <c r="BY285" s="465"/>
      <c r="BZ285" s="465"/>
      <c r="CA285" s="465"/>
      <c r="CB285" s="465"/>
      <c r="CC285" s="465"/>
      <c r="CD285" s="465"/>
      <c r="CE285" s="465"/>
      <c r="CF285" s="465"/>
      <c r="CG285" s="465"/>
      <c r="CH285" s="465"/>
      <c r="CI285" s="465"/>
      <c r="CJ285" s="465"/>
      <c r="CK285" s="465"/>
      <c r="CL285" s="465"/>
      <c r="CM285" s="466"/>
      <c r="CN285" s="198"/>
      <c r="CO285" s="198"/>
      <c r="CP285" s="198"/>
      <c r="CQ285" s="98"/>
    </row>
    <row r="286" spans="1:95" s="107" customFormat="1" ht="42.75" customHeight="1">
      <c r="A286" s="132" t="s">
        <v>205</v>
      </c>
      <c r="B286" s="104"/>
      <c r="C286" s="105" t="s">
        <v>182</v>
      </c>
      <c r="D286" s="104">
        <v>346</v>
      </c>
      <c r="E286" s="106">
        <f>73538.34+47840</f>
        <v>121378.34</v>
      </c>
      <c r="F286" s="106">
        <f>73538.34+47840</f>
        <v>121378.34</v>
      </c>
      <c r="G286" s="113">
        <v>73690.91</v>
      </c>
      <c r="H286" s="114">
        <f>G286</f>
        <v>73690.91</v>
      </c>
      <c r="I286" s="114">
        <f t="shared" si="182"/>
        <v>73690.91</v>
      </c>
      <c r="J286" s="114">
        <f t="shared" si="182"/>
        <v>73690.91</v>
      </c>
      <c r="K286" s="114">
        <f t="shared" si="182"/>
        <v>73690.91</v>
      </c>
      <c r="L286" s="110"/>
      <c r="M286" s="196"/>
      <c r="N286" s="197"/>
      <c r="O286" s="197"/>
      <c r="P286" s="197"/>
      <c r="Q286" s="197"/>
      <c r="R286" s="197"/>
      <c r="S286" s="197"/>
      <c r="T286" s="464">
        <f>G122+G135+G140+G185+G261+G266+G271</f>
        <v>9267101.9900000002</v>
      </c>
      <c r="U286" s="465"/>
      <c r="V286" s="465"/>
      <c r="W286" s="465"/>
      <c r="X286" s="465"/>
      <c r="Y286" s="465"/>
      <c r="Z286" s="465"/>
      <c r="AA286" s="465"/>
      <c r="AB286" s="465"/>
      <c r="AC286" s="465"/>
      <c r="AD286" s="465"/>
      <c r="AE286" s="465"/>
      <c r="AF286" s="465"/>
      <c r="AG286" s="465"/>
      <c r="AH286" s="465"/>
      <c r="AI286" s="465"/>
      <c r="AJ286" s="465"/>
      <c r="AK286" s="465"/>
      <c r="AL286" s="465"/>
      <c r="AM286" s="465"/>
      <c r="AN286" s="465"/>
      <c r="AO286" s="465"/>
      <c r="AP286" s="465"/>
      <c r="AQ286" s="466"/>
      <c r="AR286" s="464"/>
      <c r="AS286" s="465"/>
      <c r="AT286" s="465"/>
      <c r="AU286" s="465"/>
      <c r="AV286" s="465"/>
      <c r="AW286" s="465"/>
      <c r="AX286" s="465"/>
      <c r="AY286" s="465"/>
      <c r="AZ286" s="465"/>
      <c r="BA286" s="465"/>
      <c r="BB286" s="465"/>
      <c r="BC286" s="465"/>
      <c r="BD286" s="465"/>
      <c r="BE286" s="465"/>
      <c r="BF286" s="465"/>
      <c r="BG286" s="465"/>
      <c r="BH286" s="465"/>
      <c r="BI286" s="465"/>
      <c r="BJ286" s="465"/>
      <c r="BK286" s="465"/>
      <c r="BL286" s="465"/>
      <c r="BM286" s="465"/>
      <c r="BN286" s="465"/>
      <c r="BO286" s="466"/>
      <c r="BP286" s="464">
        <f t="shared" ref="BP286:BP287" si="183">T286-AR286</f>
        <v>9267101.9900000002</v>
      </c>
      <c r="BQ286" s="465"/>
      <c r="BR286" s="465"/>
      <c r="BS286" s="465"/>
      <c r="BT286" s="465"/>
      <c r="BU286" s="465"/>
      <c r="BV286" s="465"/>
      <c r="BW286" s="465"/>
      <c r="BX286" s="465"/>
      <c r="BY286" s="465"/>
      <c r="BZ286" s="465"/>
      <c r="CA286" s="465"/>
      <c r="CB286" s="465"/>
      <c r="CC286" s="465"/>
      <c r="CD286" s="465"/>
      <c r="CE286" s="465"/>
      <c r="CF286" s="465"/>
      <c r="CG286" s="465"/>
      <c r="CH286" s="465"/>
      <c r="CI286" s="465"/>
      <c r="CJ286" s="465"/>
      <c r="CK286" s="465"/>
      <c r="CL286" s="465"/>
      <c r="CM286" s="466"/>
      <c r="CN286" s="198"/>
      <c r="CO286" s="198"/>
      <c r="CP286" s="198"/>
      <c r="CQ286" s="98"/>
    </row>
    <row r="287" spans="1:95" s="57" customFormat="1" ht="43.5" customHeight="1">
      <c r="A287" s="59" t="s">
        <v>229</v>
      </c>
      <c r="B287" s="79">
        <v>3000</v>
      </c>
      <c r="C287" s="79">
        <v>100</v>
      </c>
      <c r="D287" s="76"/>
      <c r="E287" s="81">
        <v>0</v>
      </c>
      <c r="F287" s="166">
        <v>0</v>
      </c>
      <c r="G287" s="81">
        <v>0</v>
      </c>
      <c r="H287" s="81">
        <v>0</v>
      </c>
      <c r="I287" s="81">
        <v>0</v>
      </c>
      <c r="J287" s="188">
        <f>I287</f>
        <v>0</v>
      </c>
      <c r="K287" s="170" t="s">
        <v>60</v>
      </c>
      <c r="M287" s="196"/>
      <c r="N287" s="197"/>
      <c r="O287" s="197"/>
      <c r="P287" s="197"/>
      <c r="Q287" s="197"/>
      <c r="R287" s="197"/>
      <c r="S287" s="197"/>
      <c r="T287" s="464">
        <f>G279</f>
        <v>3684545.2800000003</v>
      </c>
      <c r="U287" s="465"/>
      <c r="V287" s="465"/>
      <c r="W287" s="465"/>
      <c r="X287" s="465"/>
      <c r="Y287" s="465"/>
      <c r="Z287" s="465"/>
      <c r="AA287" s="465"/>
      <c r="AB287" s="465"/>
      <c r="AC287" s="465"/>
      <c r="AD287" s="465"/>
      <c r="AE287" s="465"/>
      <c r="AF287" s="465"/>
      <c r="AG287" s="465"/>
      <c r="AH287" s="465"/>
      <c r="AI287" s="465"/>
      <c r="AJ287" s="465"/>
      <c r="AK287" s="465"/>
      <c r="AL287" s="465"/>
      <c r="AM287" s="465"/>
      <c r="AN287" s="465"/>
      <c r="AO287" s="465"/>
      <c r="AP287" s="465"/>
      <c r="AQ287" s="466"/>
      <c r="AR287" s="464"/>
      <c r="AS287" s="465"/>
      <c r="AT287" s="465"/>
      <c r="AU287" s="465"/>
      <c r="AV287" s="465"/>
      <c r="AW287" s="465"/>
      <c r="AX287" s="465"/>
      <c r="AY287" s="465"/>
      <c r="AZ287" s="465"/>
      <c r="BA287" s="465"/>
      <c r="BB287" s="465"/>
      <c r="BC287" s="465"/>
      <c r="BD287" s="465"/>
      <c r="BE287" s="465"/>
      <c r="BF287" s="465"/>
      <c r="BG287" s="465"/>
      <c r="BH287" s="465"/>
      <c r="BI287" s="465"/>
      <c r="BJ287" s="465"/>
      <c r="BK287" s="465"/>
      <c r="BL287" s="465"/>
      <c r="BM287" s="465"/>
      <c r="BN287" s="465"/>
      <c r="BO287" s="466"/>
      <c r="BP287" s="464">
        <f t="shared" si="183"/>
        <v>3684545.2800000003</v>
      </c>
      <c r="BQ287" s="465"/>
      <c r="BR287" s="465"/>
      <c r="BS287" s="465"/>
      <c r="BT287" s="465"/>
      <c r="BU287" s="465"/>
      <c r="BV287" s="465"/>
      <c r="BW287" s="465"/>
      <c r="BX287" s="465"/>
      <c r="BY287" s="465"/>
      <c r="BZ287" s="465"/>
      <c r="CA287" s="465"/>
      <c r="CB287" s="465"/>
      <c r="CC287" s="465"/>
      <c r="CD287" s="465"/>
      <c r="CE287" s="465"/>
      <c r="CF287" s="465"/>
      <c r="CG287" s="465"/>
      <c r="CH287" s="465"/>
      <c r="CI287" s="465"/>
      <c r="CJ287" s="465"/>
      <c r="CK287" s="465"/>
      <c r="CL287" s="465"/>
      <c r="CM287" s="466"/>
      <c r="CN287" s="198"/>
      <c r="CO287" s="198"/>
      <c r="CP287" s="198"/>
      <c r="CQ287" s="98"/>
    </row>
    <row r="288" spans="1:95" ht="30" customHeight="1">
      <c r="A288" s="416" t="s">
        <v>106</v>
      </c>
      <c r="B288" s="420">
        <v>3010</v>
      </c>
      <c r="C288" s="420"/>
      <c r="D288" s="420"/>
      <c r="E288" s="414"/>
      <c r="F288" s="421"/>
      <c r="G288" s="414"/>
      <c r="H288" s="414"/>
      <c r="I288" s="414"/>
      <c r="J288" s="420"/>
      <c r="K288" s="420" t="s">
        <v>60</v>
      </c>
      <c r="M288" s="196"/>
      <c r="N288" s="197"/>
      <c r="O288" s="197"/>
      <c r="P288" s="197"/>
      <c r="Q288" s="197"/>
      <c r="R288" s="197"/>
      <c r="S288" s="197"/>
      <c r="T288" s="464"/>
      <c r="U288" s="465"/>
      <c r="V288" s="465"/>
      <c r="W288" s="465"/>
      <c r="X288" s="465"/>
      <c r="Y288" s="465"/>
      <c r="Z288" s="465"/>
      <c r="AA288" s="465"/>
      <c r="AB288" s="465"/>
      <c r="AC288" s="465"/>
      <c r="AD288" s="465"/>
      <c r="AE288" s="465"/>
      <c r="AF288" s="465"/>
      <c r="AG288" s="465"/>
      <c r="AH288" s="465"/>
      <c r="AI288" s="465"/>
      <c r="AJ288" s="465"/>
      <c r="AK288" s="465"/>
      <c r="AL288" s="465"/>
      <c r="AM288" s="465"/>
      <c r="AN288" s="465"/>
      <c r="AO288" s="465"/>
      <c r="AP288" s="465"/>
      <c r="AQ288" s="466"/>
      <c r="AR288" s="464"/>
      <c r="AS288" s="465"/>
      <c r="AT288" s="465"/>
      <c r="AU288" s="465"/>
      <c r="AV288" s="465"/>
      <c r="AW288" s="465"/>
      <c r="AX288" s="465"/>
      <c r="AY288" s="465"/>
      <c r="AZ288" s="465"/>
      <c r="BA288" s="465"/>
      <c r="BB288" s="465"/>
      <c r="BC288" s="465"/>
      <c r="BD288" s="465"/>
      <c r="BE288" s="465"/>
      <c r="BF288" s="465"/>
      <c r="BG288" s="465"/>
      <c r="BH288" s="465"/>
      <c r="BI288" s="465"/>
      <c r="BJ288" s="465"/>
      <c r="BK288" s="465"/>
      <c r="BL288" s="465"/>
      <c r="BM288" s="465"/>
      <c r="BN288" s="465"/>
      <c r="BO288" s="466"/>
      <c r="BP288" s="464"/>
      <c r="BQ288" s="465"/>
      <c r="BR288" s="465"/>
      <c r="BS288" s="465"/>
      <c r="BT288" s="465"/>
      <c r="BU288" s="465"/>
      <c r="BV288" s="465"/>
      <c r="BW288" s="465"/>
      <c r="BX288" s="465"/>
      <c r="BY288" s="465"/>
      <c r="BZ288" s="465"/>
      <c r="CA288" s="465"/>
      <c r="CB288" s="465"/>
      <c r="CC288" s="465"/>
      <c r="CD288" s="465"/>
      <c r="CE288" s="465"/>
      <c r="CF288" s="465"/>
      <c r="CG288" s="465"/>
      <c r="CH288" s="465"/>
      <c r="CI288" s="465"/>
      <c r="CJ288" s="465"/>
      <c r="CK288" s="465"/>
      <c r="CL288" s="465"/>
      <c r="CM288" s="466"/>
      <c r="CN288" s="198"/>
      <c r="CO288" s="198"/>
      <c r="CP288" s="198"/>
      <c r="CQ288" s="98"/>
    </row>
    <row r="289" spans="1:95" ht="30" customHeight="1">
      <c r="A289" s="416"/>
      <c r="B289" s="420"/>
      <c r="C289" s="420"/>
      <c r="D289" s="420"/>
      <c r="E289" s="414"/>
      <c r="F289" s="421"/>
      <c r="G289" s="414"/>
      <c r="H289" s="414"/>
      <c r="I289" s="414"/>
      <c r="J289" s="420"/>
      <c r="K289" s="420"/>
      <c r="M289" s="196"/>
      <c r="N289" s="197"/>
      <c r="O289" s="197"/>
      <c r="P289" s="197"/>
      <c r="Q289" s="197"/>
      <c r="R289" s="197"/>
      <c r="S289" s="197"/>
      <c r="T289" s="464">
        <f>T287+T286+T285</f>
        <v>78982696.379999995</v>
      </c>
      <c r="U289" s="465"/>
      <c r="V289" s="465"/>
      <c r="W289" s="465"/>
      <c r="X289" s="465"/>
      <c r="Y289" s="465"/>
      <c r="Z289" s="465"/>
      <c r="AA289" s="465"/>
      <c r="AB289" s="465"/>
      <c r="AC289" s="465"/>
      <c r="AD289" s="465"/>
      <c r="AE289" s="465"/>
      <c r="AF289" s="465"/>
      <c r="AG289" s="465"/>
      <c r="AH289" s="465"/>
      <c r="AI289" s="465"/>
      <c r="AJ289" s="465"/>
      <c r="AK289" s="465"/>
      <c r="AL289" s="465"/>
      <c r="AM289" s="465"/>
      <c r="AN289" s="465"/>
      <c r="AO289" s="465"/>
      <c r="AP289" s="465"/>
      <c r="AQ289" s="466"/>
      <c r="AR289" s="464"/>
      <c r="AS289" s="465"/>
      <c r="AT289" s="465"/>
      <c r="AU289" s="465"/>
      <c r="AV289" s="465"/>
      <c r="AW289" s="465"/>
      <c r="AX289" s="465"/>
      <c r="AY289" s="465"/>
      <c r="AZ289" s="465"/>
      <c r="BA289" s="465"/>
      <c r="BB289" s="465"/>
      <c r="BC289" s="465"/>
      <c r="BD289" s="465"/>
      <c r="BE289" s="465"/>
      <c r="BF289" s="465"/>
      <c r="BG289" s="465"/>
      <c r="BH289" s="465"/>
      <c r="BI289" s="465"/>
      <c r="BJ289" s="465"/>
      <c r="BK289" s="465"/>
      <c r="BL289" s="465"/>
      <c r="BM289" s="465"/>
      <c r="BN289" s="465"/>
      <c r="BO289" s="466"/>
      <c r="BP289" s="464"/>
      <c r="BQ289" s="465"/>
      <c r="BR289" s="465"/>
      <c r="BS289" s="465"/>
      <c r="BT289" s="465"/>
      <c r="BU289" s="465"/>
      <c r="BV289" s="465"/>
      <c r="BW289" s="465"/>
      <c r="BX289" s="465"/>
      <c r="BY289" s="465"/>
      <c r="BZ289" s="465"/>
      <c r="CA289" s="465"/>
      <c r="CB289" s="465"/>
      <c r="CC289" s="465"/>
      <c r="CD289" s="465"/>
      <c r="CE289" s="465"/>
      <c r="CF289" s="465"/>
      <c r="CG289" s="465"/>
      <c r="CH289" s="465"/>
      <c r="CI289" s="465"/>
      <c r="CJ289" s="465"/>
      <c r="CK289" s="465"/>
      <c r="CL289" s="465"/>
      <c r="CM289" s="466"/>
      <c r="CN289" s="198"/>
      <c r="CO289" s="198"/>
      <c r="CP289" s="198"/>
      <c r="CQ289" s="98"/>
    </row>
    <row r="290" spans="1:95" ht="30" customHeight="1">
      <c r="A290" s="77" t="s">
        <v>78</v>
      </c>
      <c r="B290" s="76">
        <v>3020</v>
      </c>
      <c r="C290" s="76"/>
      <c r="D290" s="76"/>
      <c r="E290" s="82"/>
      <c r="F290" s="163"/>
      <c r="G290" s="82"/>
      <c r="H290" s="82"/>
      <c r="I290" s="82"/>
      <c r="J290" s="76"/>
      <c r="K290" s="171" t="s">
        <v>60</v>
      </c>
      <c r="M290" s="196"/>
      <c r="N290" s="197"/>
      <c r="O290" s="197"/>
      <c r="P290" s="197"/>
      <c r="Q290" s="197"/>
      <c r="R290" s="197"/>
      <c r="S290" s="197"/>
      <c r="T290" s="464"/>
      <c r="U290" s="465"/>
      <c r="V290" s="465"/>
      <c r="W290" s="465"/>
      <c r="X290" s="465"/>
      <c r="Y290" s="465"/>
      <c r="Z290" s="465"/>
      <c r="AA290" s="465"/>
      <c r="AB290" s="465"/>
      <c r="AC290" s="465"/>
      <c r="AD290" s="465"/>
      <c r="AE290" s="465"/>
      <c r="AF290" s="465"/>
      <c r="AG290" s="465"/>
      <c r="AH290" s="465"/>
      <c r="AI290" s="465"/>
      <c r="AJ290" s="465"/>
      <c r="AK290" s="465"/>
      <c r="AL290" s="465"/>
      <c r="AM290" s="465"/>
      <c r="AN290" s="465"/>
      <c r="AO290" s="465"/>
      <c r="AP290" s="465"/>
      <c r="AQ290" s="466"/>
      <c r="AR290" s="464"/>
      <c r="AS290" s="465"/>
      <c r="AT290" s="465"/>
      <c r="AU290" s="465"/>
      <c r="AV290" s="465"/>
      <c r="AW290" s="465"/>
      <c r="AX290" s="465"/>
      <c r="AY290" s="465"/>
      <c r="AZ290" s="465"/>
      <c r="BA290" s="465"/>
      <c r="BB290" s="465"/>
      <c r="BC290" s="465"/>
      <c r="BD290" s="465"/>
      <c r="BE290" s="465"/>
      <c r="BF290" s="465"/>
      <c r="BG290" s="465"/>
      <c r="BH290" s="465"/>
      <c r="BI290" s="465"/>
      <c r="BJ290" s="465"/>
      <c r="BK290" s="465"/>
      <c r="BL290" s="465"/>
      <c r="BM290" s="465"/>
      <c r="BN290" s="465"/>
      <c r="BO290" s="466"/>
      <c r="BP290" s="464"/>
      <c r="BQ290" s="465"/>
      <c r="BR290" s="465"/>
      <c r="BS290" s="465"/>
      <c r="BT290" s="465"/>
      <c r="BU290" s="465"/>
      <c r="BV290" s="465"/>
      <c r="BW290" s="465"/>
      <c r="BX290" s="465"/>
      <c r="BY290" s="465"/>
      <c r="BZ290" s="465"/>
      <c r="CA290" s="465"/>
      <c r="CB290" s="465"/>
      <c r="CC290" s="465"/>
      <c r="CD290" s="465"/>
      <c r="CE290" s="465"/>
      <c r="CF290" s="465"/>
      <c r="CG290" s="465"/>
      <c r="CH290" s="465"/>
      <c r="CI290" s="465"/>
      <c r="CJ290" s="465"/>
      <c r="CK290" s="465"/>
      <c r="CL290" s="465"/>
      <c r="CM290" s="466"/>
      <c r="CN290" s="198"/>
      <c r="CO290" s="198"/>
      <c r="CP290" s="198"/>
      <c r="CQ290" s="98"/>
    </row>
    <row r="291" spans="1:95" ht="30" customHeight="1">
      <c r="A291" s="77" t="s">
        <v>79</v>
      </c>
      <c r="B291" s="76">
        <v>3030</v>
      </c>
      <c r="C291" s="76"/>
      <c r="D291" s="76"/>
      <c r="E291" s="82"/>
      <c r="F291" s="163"/>
      <c r="G291" s="82"/>
      <c r="H291" s="82"/>
      <c r="I291" s="82"/>
      <c r="J291" s="76"/>
      <c r="K291" s="171" t="s">
        <v>60</v>
      </c>
      <c r="M291" s="196"/>
      <c r="N291" s="197"/>
      <c r="O291" s="197"/>
      <c r="P291" s="197"/>
      <c r="Q291" s="197"/>
      <c r="R291" s="197"/>
      <c r="S291" s="197"/>
      <c r="T291" s="464"/>
      <c r="U291" s="465"/>
      <c r="V291" s="465"/>
      <c r="W291" s="465"/>
      <c r="X291" s="465"/>
      <c r="Y291" s="465"/>
      <c r="Z291" s="465"/>
      <c r="AA291" s="465"/>
      <c r="AB291" s="465"/>
      <c r="AC291" s="465"/>
      <c r="AD291" s="465"/>
      <c r="AE291" s="465"/>
      <c r="AF291" s="465"/>
      <c r="AG291" s="465"/>
      <c r="AH291" s="465"/>
      <c r="AI291" s="465"/>
      <c r="AJ291" s="465"/>
      <c r="AK291" s="465"/>
      <c r="AL291" s="465"/>
      <c r="AM291" s="465"/>
      <c r="AN291" s="465"/>
      <c r="AO291" s="465"/>
      <c r="AP291" s="465"/>
      <c r="AQ291" s="466"/>
      <c r="AR291" s="464"/>
      <c r="AS291" s="465"/>
      <c r="AT291" s="465"/>
      <c r="AU291" s="465"/>
      <c r="AV291" s="465"/>
      <c r="AW291" s="465"/>
      <c r="AX291" s="465"/>
      <c r="AY291" s="465"/>
      <c r="AZ291" s="465"/>
      <c r="BA291" s="465"/>
      <c r="BB291" s="465"/>
      <c r="BC291" s="465"/>
      <c r="BD291" s="465"/>
      <c r="BE291" s="465"/>
      <c r="BF291" s="465"/>
      <c r="BG291" s="465"/>
      <c r="BH291" s="465"/>
      <c r="BI291" s="465"/>
      <c r="BJ291" s="465"/>
      <c r="BK291" s="465"/>
      <c r="BL291" s="465"/>
      <c r="BM291" s="465"/>
      <c r="BN291" s="465"/>
      <c r="BO291" s="466"/>
      <c r="BP291" s="464"/>
      <c r="BQ291" s="465"/>
      <c r="BR291" s="465"/>
      <c r="BS291" s="465"/>
      <c r="BT291" s="465"/>
      <c r="BU291" s="465"/>
      <c r="BV291" s="465"/>
      <c r="BW291" s="465"/>
      <c r="BX291" s="465"/>
      <c r="BY291" s="465"/>
      <c r="BZ291" s="465"/>
      <c r="CA291" s="465"/>
      <c r="CB291" s="465"/>
      <c r="CC291" s="465"/>
      <c r="CD291" s="465"/>
      <c r="CE291" s="465"/>
      <c r="CF291" s="465"/>
      <c r="CG291" s="465"/>
      <c r="CH291" s="465"/>
      <c r="CI291" s="465"/>
      <c r="CJ291" s="465"/>
      <c r="CK291" s="465"/>
      <c r="CL291" s="465"/>
      <c r="CM291" s="466"/>
      <c r="CN291" s="198"/>
      <c r="CO291" s="198"/>
      <c r="CP291" s="198"/>
      <c r="CQ291" s="98"/>
    </row>
    <row r="292" spans="1:95" s="57" customFormat="1" ht="30" customHeight="1">
      <c r="A292" s="84" t="s">
        <v>228</v>
      </c>
      <c r="B292" s="79">
        <v>4000</v>
      </c>
      <c r="C292" s="79" t="s">
        <v>60</v>
      </c>
      <c r="D292" s="76"/>
      <c r="E292" s="81">
        <v>0</v>
      </c>
      <c r="F292" s="166">
        <v>0</v>
      </c>
      <c r="G292" s="81">
        <v>0</v>
      </c>
      <c r="H292" s="81">
        <v>0</v>
      </c>
      <c r="I292" s="81">
        <v>0</v>
      </c>
      <c r="J292" s="188">
        <f>I292</f>
        <v>0</v>
      </c>
      <c r="K292" s="170" t="s">
        <v>60</v>
      </c>
      <c r="M292" s="196"/>
      <c r="N292" s="197"/>
      <c r="O292" s="197"/>
      <c r="P292" s="197"/>
      <c r="Q292" s="197"/>
      <c r="R292" s="197"/>
      <c r="S292" s="197"/>
      <c r="T292" s="464"/>
      <c r="U292" s="465"/>
      <c r="V292" s="465"/>
      <c r="W292" s="465"/>
      <c r="X292" s="465"/>
      <c r="Y292" s="465"/>
      <c r="Z292" s="465"/>
      <c r="AA292" s="465"/>
      <c r="AB292" s="465"/>
      <c r="AC292" s="465"/>
      <c r="AD292" s="465"/>
      <c r="AE292" s="465"/>
      <c r="AF292" s="465"/>
      <c r="AG292" s="465"/>
      <c r="AH292" s="465"/>
      <c r="AI292" s="465"/>
      <c r="AJ292" s="465"/>
      <c r="AK292" s="465"/>
      <c r="AL292" s="465"/>
      <c r="AM292" s="465"/>
      <c r="AN292" s="465"/>
      <c r="AO292" s="465"/>
      <c r="AP292" s="465"/>
      <c r="AQ292" s="466"/>
      <c r="AR292" s="464"/>
      <c r="AS292" s="465"/>
      <c r="AT292" s="465"/>
      <c r="AU292" s="465"/>
      <c r="AV292" s="465"/>
      <c r="AW292" s="465"/>
      <c r="AX292" s="465"/>
      <c r="AY292" s="465"/>
      <c r="AZ292" s="465"/>
      <c r="BA292" s="465"/>
      <c r="BB292" s="465"/>
      <c r="BC292" s="465"/>
      <c r="BD292" s="465"/>
      <c r="BE292" s="465"/>
      <c r="BF292" s="465"/>
      <c r="BG292" s="465"/>
      <c r="BH292" s="465"/>
      <c r="BI292" s="465"/>
      <c r="BJ292" s="465"/>
      <c r="BK292" s="465"/>
      <c r="BL292" s="465"/>
      <c r="BM292" s="465"/>
      <c r="BN292" s="465"/>
      <c r="BO292" s="466"/>
      <c r="BP292" s="464"/>
      <c r="BQ292" s="465"/>
      <c r="BR292" s="465"/>
      <c r="BS292" s="465"/>
      <c r="BT292" s="465"/>
      <c r="BU292" s="465"/>
      <c r="BV292" s="465"/>
      <c r="BW292" s="465"/>
      <c r="BX292" s="465"/>
      <c r="BY292" s="465"/>
      <c r="BZ292" s="465"/>
      <c r="CA292" s="465"/>
      <c r="CB292" s="465"/>
      <c r="CC292" s="465"/>
      <c r="CD292" s="465"/>
      <c r="CE292" s="465"/>
      <c r="CF292" s="465"/>
      <c r="CG292" s="465"/>
      <c r="CH292" s="465"/>
      <c r="CI292" s="465"/>
      <c r="CJ292" s="465"/>
      <c r="CK292" s="465"/>
      <c r="CL292" s="465"/>
      <c r="CM292" s="466"/>
      <c r="CN292" s="198"/>
      <c r="CO292" s="198"/>
      <c r="CP292" s="198"/>
      <c r="CQ292" s="98"/>
    </row>
    <row r="293" spans="1:95" ht="30" customHeight="1">
      <c r="A293" s="416" t="s">
        <v>107</v>
      </c>
      <c r="B293" s="420">
        <v>4010</v>
      </c>
      <c r="C293" s="420">
        <v>610</v>
      </c>
      <c r="D293" s="420"/>
      <c r="E293" s="414"/>
      <c r="F293" s="421"/>
      <c r="G293" s="414"/>
      <c r="H293" s="414"/>
      <c r="I293" s="414"/>
      <c r="J293" s="420"/>
      <c r="K293" s="420" t="s">
        <v>60</v>
      </c>
      <c r="L293" s="454"/>
      <c r="M293" s="196"/>
      <c r="N293" s="197"/>
      <c r="O293" s="197"/>
      <c r="P293" s="197"/>
      <c r="Q293" s="197"/>
      <c r="R293" s="197"/>
      <c r="S293" s="197"/>
      <c r="T293" s="464"/>
      <c r="U293" s="465"/>
      <c r="V293" s="465"/>
      <c r="W293" s="465"/>
      <c r="X293" s="465"/>
      <c r="Y293" s="465"/>
      <c r="Z293" s="465"/>
      <c r="AA293" s="465"/>
      <c r="AB293" s="465"/>
      <c r="AC293" s="465"/>
      <c r="AD293" s="465"/>
      <c r="AE293" s="465"/>
      <c r="AF293" s="465"/>
      <c r="AG293" s="465"/>
      <c r="AH293" s="465"/>
      <c r="AI293" s="465"/>
      <c r="AJ293" s="465"/>
      <c r="AK293" s="465"/>
      <c r="AL293" s="465"/>
      <c r="AM293" s="465"/>
      <c r="AN293" s="465"/>
      <c r="AO293" s="465"/>
      <c r="AP293" s="465"/>
      <c r="AQ293" s="466"/>
      <c r="AR293" s="464"/>
      <c r="AS293" s="465"/>
      <c r="AT293" s="465"/>
      <c r="AU293" s="465"/>
      <c r="AV293" s="465"/>
      <c r="AW293" s="465"/>
      <c r="AX293" s="465"/>
      <c r="AY293" s="465"/>
      <c r="AZ293" s="465"/>
      <c r="BA293" s="465"/>
      <c r="BB293" s="465"/>
      <c r="BC293" s="465"/>
      <c r="BD293" s="465"/>
      <c r="BE293" s="465"/>
      <c r="BF293" s="465"/>
      <c r="BG293" s="465"/>
      <c r="BH293" s="465"/>
      <c r="BI293" s="465"/>
      <c r="BJ293" s="465"/>
      <c r="BK293" s="465"/>
      <c r="BL293" s="465"/>
      <c r="BM293" s="465"/>
      <c r="BN293" s="465"/>
      <c r="BO293" s="466"/>
      <c r="BP293" s="464"/>
      <c r="BQ293" s="465"/>
      <c r="BR293" s="465"/>
      <c r="BS293" s="465"/>
      <c r="BT293" s="465"/>
      <c r="BU293" s="465"/>
      <c r="BV293" s="465"/>
      <c r="BW293" s="465"/>
      <c r="BX293" s="465"/>
      <c r="BY293" s="465"/>
      <c r="BZ293" s="465"/>
      <c r="CA293" s="465"/>
      <c r="CB293" s="465"/>
      <c r="CC293" s="465"/>
      <c r="CD293" s="465"/>
      <c r="CE293" s="465"/>
      <c r="CF293" s="465"/>
      <c r="CG293" s="465"/>
      <c r="CH293" s="465"/>
      <c r="CI293" s="465"/>
      <c r="CJ293" s="465"/>
      <c r="CK293" s="465"/>
      <c r="CL293" s="465"/>
      <c r="CM293" s="466"/>
      <c r="CN293" s="198"/>
      <c r="CO293" s="198"/>
      <c r="CP293" s="198"/>
      <c r="CQ293" s="98"/>
    </row>
    <row r="294" spans="1:95" ht="18" customHeight="1">
      <c r="A294" s="416"/>
      <c r="B294" s="420"/>
      <c r="C294" s="420"/>
      <c r="D294" s="420"/>
      <c r="E294" s="414"/>
      <c r="F294" s="421"/>
      <c r="G294" s="414"/>
      <c r="H294" s="414"/>
      <c r="I294" s="414"/>
      <c r="J294" s="420"/>
      <c r="K294" s="420"/>
      <c r="L294" s="454"/>
      <c r="M294" s="196"/>
      <c r="N294" s="197"/>
      <c r="O294" s="197"/>
      <c r="P294" s="197"/>
      <c r="Q294" s="197"/>
      <c r="R294" s="197"/>
      <c r="S294" s="197"/>
      <c r="T294" s="464"/>
      <c r="U294" s="465"/>
      <c r="V294" s="465"/>
      <c r="W294" s="465"/>
      <c r="X294" s="465"/>
      <c r="Y294" s="465"/>
      <c r="Z294" s="465"/>
      <c r="AA294" s="465"/>
      <c r="AB294" s="465"/>
      <c r="AC294" s="465"/>
      <c r="AD294" s="465"/>
      <c r="AE294" s="465"/>
      <c r="AF294" s="465"/>
      <c r="AG294" s="465"/>
      <c r="AH294" s="465"/>
      <c r="AI294" s="465"/>
      <c r="AJ294" s="465"/>
      <c r="AK294" s="465"/>
      <c r="AL294" s="465"/>
      <c r="AM294" s="465"/>
      <c r="AN294" s="465"/>
      <c r="AO294" s="465"/>
      <c r="AP294" s="465"/>
      <c r="AQ294" s="466"/>
      <c r="AR294" s="464"/>
      <c r="AS294" s="465"/>
      <c r="AT294" s="465"/>
      <c r="AU294" s="465"/>
      <c r="AV294" s="465"/>
      <c r="AW294" s="465"/>
      <c r="AX294" s="465"/>
      <c r="AY294" s="465"/>
      <c r="AZ294" s="465"/>
      <c r="BA294" s="465"/>
      <c r="BB294" s="465"/>
      <c r="BC294" s="465"/>
      <c r="BD294" s="465"/>
      <c r="BE294" s="465"/>
      <c r="BF294" s="465"/>
      <c r="BG294" s="465"/>
      <c r="BH294" s="465"/>
      <c r="BI294" s="465"/>
      <c r="BJ294" s="465"/>
      <c r="BK294" s="465"/>
      <c r="BL294" s="465"/>
      <c r="BM294" s="465"/>
      <c r="BN294" s="465"/>
      <c r="BO294" s="466"/>
      <c r="BP294" s="464"/>
      <c r="BQ294" s="465"/>
      <c r="BR294" s="465"/>
      <c r="BS294" s="465"/>
      <c r="BT294" s="465"/>
      <c r="BU294" s="465"/>
      <c r="BV294" s="465"/>
      <c r="BW294" s="465"/>
      <c r="BX294" s="465"/>
      <c r="BY294" s="465"/>
      <c r="BZ294" s="465"/>
      <c r="CA294" s="465"/>
      <c r="CB294" s="465"/>
      <c r="CC294" s="465"/>
      <c r="CD294" s="465"/>
      <c r="CE294" s="465"/>
      <c r="CF294" s="465"/>
      <c r="CG294" s="465"/>
      <c r="CH294" s="465"/>
      <c r="CI294" s="465"/>
      <c r="CJ294" s="465"/>
      <c r="CK294" s="465"/>
      <c r="CL294" s="465"/>
      <c r="CM294" s="466"/>
      <c r="CN294" s="198"/>
      <c r="CO294" s="198"/>
      <c r="CP294" s="198"/>
      <c r="CQ294" s="98"/>
    </row>
    <row r="295" spans="1:95" ht="21.75" customHeight="1">
      <c r="A295" s="416" t="s">
        <v>108</v>
      </c>
      <c r="B295" s="420"/>
      <c r="C295" s="420"/>
      <c r="D295" s="420"/>
      <c r="E295" s="414"/>
      <c r="F295" s="421"/>
      <c r="G295" s="414"/>
      <c r="H295" s="414"/>
      <c r="I295" s="414"/>
      <c r="J295" s="415"/>
      <c r="K295" s="415"/>
      <c r="M295" s="196"/>
      <c r="N295" s="197"/>
      <c r="O295" s="197"/>
      <c r="P295" s="197"/>
      <c r="Q295" s="197"/>
      <c r="R295" s="197"/>
      <c r="S295" s="197"/>
      <c r="T295" s="464"/>
      <c r="U295" s="465"/>
      <c r="V295" s="465"/>
      <c r="W295" s="465"/>
      <c r="X295" s="465"/>
      <c r="Y295" s="465"/>
      <c r="Z295" s="465"/>
      <c r="AA295" s="465"/>
      <c r="AB295" s="465"/>
      <c r="AC295" s="465"/>
      <c r="AD295" s="465"/>
      <c r="AE295" s="465"/>
      <c r="AF295" s="465"/>
      <c r="AG295" s="465"/>
      <c r="AH295" s="465"/>
      <c r="AI295" s="465"/>
      <c r="AJ295" s="465"/>
      <c r="AK295" s="465"/>
      <c r="AL295" s="465"/>
      <c r="AM295" s="465"/>
      <c r="AN295" s="465"/>
      <c r="AO295" s="465"/>
      <c r="AP295" s="465"/>
      <c r="AQ295" s="466"/>
      <c r="AR295" s="464"/>
      <c r="AS295" s="465"/>
      <c r="AT295" s="465"/>
      <c r="AU295" s="465"/>
      <c r="AV295" s="465"/>
      <c r="AW295" s="465"/>
      <c r="AX295" s="465"/>
      <c r="AY295" s="465"/>
      <c r="AZ295" s="465"/>
      <c r="BA295" s="465"/>
      <c r="BB295" s="465"/>
      <c r="BC295" s="465"/>
      <c r="BD295" s="465"/>
      <c r="BE295" s="465"/>
      <c r="BF295" s="465"/>
      <c r="BG295" s="465"/>
      <c r="BH295" s="465"/>
      <c r="BI295" s="465"/>
      <c r="BJ295" s="465"/>
      <c r="BK295" s="465"/>
      <c r="BL295" s="465"/>
      <c r="BM295" s="465"/>
      <c r="BN295" s="465"/>
      <c r="BO295" s="466"/>
      <c r="BP295" s="464"/>
      <c r="BQ295" s="465"/>
      <c r="BR295" s="465"/>
      <c r="BS295" s="465"/>
      <c r="BT295" s="465"/>
      <c r="BU295" s="465"/>
      <c r="BV295" s="465"/>
      <c r="BW295" s="465"/>
      <c r="BX295" s="465"/>
      <c r="BY295" s="465"/>
      <c r="BZ295" s="465"/>
      <c r="CA295" s="465"/>
      <c r="CB295" s="465"/>
      <c r="CC295" s="465"/>
      <c r="CD295" s="465"/>
      <c r="CE295" s="465"/>
      <c r="CF295" s="465"/>
      <c r="CG295" s="465"/>
      <c r="CH295" s="465"/>
      <c r="CI295" s="465"/>
      <c r="CJ295" s="465"/>
      <c r="CK295" s="465"/>
      <c r="CL295" s="465"/>
      <c r="CM295" s="466"/>
      <c r="CN295" s="198"/>
      <c r="CO295" s="198"/>
      <c r="CP295" s="198"/>
      <c r="CQ295" s="98"/>
    </row>
    <row r="296" spans="1:95" ht="21" customHeight="1">
      <c r="A296" s="416"/>
      <c r="B296" s="420"/>
      <c r="C296" s="420"/>
      <c r="D296" s="420"/>
      <c r="E296" s="414"/>
      <c r="F296" s="421"/>
      <c r="G296" s="414"/>
      <c r="H296" s="414"/>
      <c r="I296" s="414"/>
      <c r="J296" s="415"/>
      <c r="K296" s="415"/>
      <c r="M296" s="196"/>
      <c r="N296" s="197"/>
      <c r="O296" s="197"/>
      <c r="P296" s="197"/>
      <c r="Q296" s="197"/>
      <c r="R296" s="197"/>
      <c r="S296" s="197"/>
      <c r="T296" s="464"/>
      <c r="U296" s="465"/>
      <c r="V296" s="465"/>
      <c r="W296" s="465"/>
      <c r="X296" s="465"/>
      <c r="Y296" s="465"/>
      <c r="Z296" s="465"/>
      <c r="AA296" s="465"/>
      <c r="AB296" s="465"/>
      <c r="AC296" s="465"/>
      <c r="AD296" s="465"/>
      <c r="AE296" s="465"/>
      <c r="AF296" s="465"/>
      <c r="AG296" s="465"/>
      <c r="AH296" s="465"/>
      <c r="AI296" s="465"/>
      <c r="AJ296" s="465"/>
      <c r="AK296" s="465"/>
      <c r="AL296" s="465"/>
      <c r="AM296" s="465"/>
      <c r="AN296" s="465"/>
      <c r="AO296" s="465"/>
      <c r="AP296" s="465"/>
      <c r="AQ296" s="466"/>
      <c r="AR296" s="464"/>
      <c r="AS296" s="465"/>
      <c r="AT296" s="465"/>
      <c r="AU296" s="465"/>
      <c r="AV296" s="465"/>
      <c r="AW296" s="465"/>
      <c r="AX296" s="465"/>
      <c r="AY296" s="465"/>
      <c r="AZ296" s="465"/>
      <c r="BA296" s="465"/>
      <c r="BB296" s="465"/>
      <c r="BC296" s="465"/>
      <c r="BD296" s="465"/>
      <c r="BE296" s="465"/>
      <c r="BF296" s="465"/>
      <c r="BG296" s="465"/>
      <c r="BH296" s="465"/>
      <c r="BI296" s="465"/>
      <c r="BJ296" s="465"/>
      <c r="BK296" s="465"/>
      <c r="BL296" s="465"/>
      <c r="BM296" s="465"/>
      <c r="BN296" s="465"/>
      <c r="BO296" s="466"/>
      <c r="BP296" s="464"/>
      <c r="BQ296" s="465"/>
      <c r="BR296" s="465"/>
      <c r="BS296" s="465"/>
      <c r="BT296" s="465"/>
      <c r="BU296" s="465"/>
      <c r="BV296" s="465"/>
      <c r="BW296" s="465"/>
      <c r="BX296" s="465"/>
      <c r="BY296" s="465"/>
      <c r="BZ296" s="465"/>
      <c r="CA296" s="465"/>
      <c r="CB296" s="465"/>
      <c r="CC296" s="465"/>
      <c r="CD296" s="465"/>
      <c r="CE296" s="465"/>
      <c r="CF296" s="465"/>
      <c r="CG296" s="465"/>
      <c r="CH296" s="465"/>
      <c r="CI296" s="465"/>
      <c r="CJ296" s="465"/>
      <c r="CK296" s="465"/>
      <c r="CL296" s="465"/>
      <c r="CM296" s="466"/>
      <c r="CN296" s="198"/>
      <c r="CO296" s="198"/>
      <c r="CP296" s="198"/>
      <c r="CQ296" s="98"/>
    </row>
    <row r="297" spans="1:95" ht="30" customHeight="1">
      <c r="A297" s="77" t="s">
        <v>70</v>
      </c>
      <c r="B297" s="76"/>
      <c r="C297" s="76"/>
      <c r="D297" s="76"/>
      <c r="E297" s="82"/>
      <c r="F297" s="163"/>
      <c r="G297" s="82"/>
      <c r="H297" s="82"/>
      <c r="I297" s="82"/>
      <c r="J297" s="77"/>
      <c r="K297" s="181"/>
      <c r="M297" s="196"/>
      <c r="N297" s="197"/>
      <c r="O297" s="197"/>
      <c r="P297" s="197"/>
      <c r="Q297" s="197"/>
      <c r="R297" s="197"/>
      <c r="S297" s="197"/>
      <c r="T297" s="464"/>
      <c r="U297" s="465"/>
      <c r="V297" s="465"/>
      <c r="W297" s="465"/>
      <c r="X297" s="465"/>
      <c r="Y297" s="465"/>
      <c r="Z297" s="465"/>
      <c r="AA297" s="465"/>
      <c r="AB297" s="465"/>
      <c r="AC297" s="465"/>
      <c r="AD297" s="465"/>
      <c r="AE297" s="465"/>
      <c r="AF297" s="465"/>
      <c r="AG297" s="465"/>
      <c r="AH297" s="465"/>
      <c r="AI297" s="465"/>
      <c r="AJ297" s="465"/>
      <c r="AK297" s="465"/>
      <c r="AL297" s="465"/>
      <c r="AM297" s="465"/>
      <c r="AN297" s="465"/>
      <c r="AO297" s="465"/>
      <c r="AP297" s="465"/>
      <c r="AQ297" s="466"/>
      <c r="AR297" s="464"/>
      <c r="AS297" s="465"/>
      <c r="AT297" s="465"/>
      <c r="AU297" s="465"/>
      <c r="AV297" s="465"/>
      <c r="AW297" s="465"/>
      <c r="AX297" s="465"/>
      <c r="AY297" s="465"/>
      <c r="AZ297" s="465"/>
      <c r="BA297" s="465"/>
      <c r="BB297" s="465"/>
      <c r="BC297" s="465"/>
      <c r="BD297" s="465"/>
      <c r="BE297" s="465"/>
      <c r="BF297" s="465"/>
      <c r="BG297" s="465"/>
      <c r="BH297" s="465"/>
      <c r="BI297" s="465"/>
      <c r="BJ297" s="465"/>
      <c r="BK297" s="465"/>
      <c r="BL297" s="465"/>
      <c r="BM297" s="465"/>
      <c r="BN297" s="465"/>
      <c r="BO297" s="466"/>
      <c r="BP297" s="464"/>
      <c r="BQ297" s="465"/>
      <c r="BR297" s="465"/>
      <c r="BS297" s="465"/>
      <c r="BT297" s="465"/>
      <c r="BU297" s="465"/>
      <c r="BV297" s="465"/>
      <c r="BW297" s="465"/>
      <c r="BX297" s="465"/>
      <c r="BY297" s="465"/>
      <c r="BZ297" s="465"/>
      <c r="CA297" s="465"/>
      <c r="CB297" s="465"/>
      <c r="CC297" s="465"/>
      <c r="CD297" s="465"/>
      <c r="CE297" s="465"/>
      <c r="CF297" s="465"/>
      <c r="CG297" s="465"/>
      <c r="CH297" s="465"/>
      <c r="CI297" s="465"/>
      <c r="CJ297" s="465"/>
      <c r="CK297" s="465"/>
      <c r="CL297" s="465"/>
      <c r="CM297" s="466"/>
      <c r="CN297" s="198"/>
      <c r="CO297" s="198"/>
      <c r="CP297" s="198"/>
      <c r="CQ297" s="98"/>
    </row>
    <row r="298" spans="1:95" ht="14.25" customHeight="1">
      <c r="A298"/>
      <c r="B298"/>
      <c r="C298"/>
      <c r="D298" s="115"/>
      <c r="E298"/>
      <c r="F298" s="167"/>
      <c r="G298"/>
      <c r="H298"/>
      <c r="I298"/>
      <c r="J298"/>
      <c r="K298"/>
      <c r="M298" s="196"/>
      <c r="N298" s="197"/>
      <c r="O298" s="197"/>
      <c r="P298" s="197"/>
      <c r="Q298" s="197"/>
      <c r="R298" s="197"/>
      <c r="S298" s="197"/>
      <c r="T298" s="464"/>
      <c r="U298" s="465"/>
      <c r="V298" s="465"/>
      <c r="W298" s="465"/>
      <c r="X298" s="465"/>
      <c r="Y298" s="465"/>
      <c r="Z298" s="465"/>
      <c r="AA298" s="465"/>
      <c r="AB298" s="465"/>
      <c r="AC298" s="465"/>
      <c r="AD298" s="465"/>
      <c r="AE298" s="465"/>
      <c r="AF298" s="465"/>
      <c r="AG298" s="465"/>
      <c r="AH298" s="465"/>
      <c r="AI298" s="465"/>
      <c r="AJ298" s="465"/>
      <c r="AK298" s="465"/>
      <c r="AL298" s="465"/>
      <c r="AM298" s="465"/>
      <c r="AN298" s="465"/>
      <c r="AO298" s="465"/>
      <c r="AP298" s="465"/>
      <c r="AQ298" s="466"/>
      <c r="AR298" s="464"/>
      <c r="AS298" s="465"/>
      <c r="AT298" s="465"/>
      <c r="AU298" s="465"/>
      <c r="AV298" s="465"/>
      <c r="AW298" s="465"/>
      <c r="AX298" s="465"/>
      <c r="AY298" s="465"/>
      <c r="AZ298" s="465"/>
      <c r="BA298" s="465"/>
      <c r="BB298" s="465"/>
      <c r="BC298" s="465"/>
      <c r="BD298" s="465"/>
      <c r="BE298" s="465"/>
      <c r="BF298" s="465"/>
      <c r="BG298" s="465"/>
      <c r="BH298" s="465"/>
      <c r="BI298" s="465"/>
      <c r="BJ298" s="465"/>
      <c r="BK298" s="465"/>
      <c r="BL298" s="465"/>
      <c r="BM298" s="465"/>
      <c r="BN298" s="465"/>
      <c r="BO298" s="466"/>
      <c r="BP298" s="464"/>
      <c r="BQ298" s="465"/>
      <c r="BR298" s="465"/>
      <c r="BS298" s="465"/>
      <c r="BT298" s="465"/>
      <c r="BU298" s="465"/>
      <c r="BV298" s="465"/>
      <c r="BW298" s="465"/>
      <c r="BX298" s="465"/>
      <c r="BY298" s="465"/>
      <c r="BZ298" s="465"/>
      <c r="CA298" s="465"/>
      <c r="CB298" s="465"/>
      <c r="CC298" s="465"/>
      <c r="CD298" s="465"/>
      <c r="CE298" s="465"/>
      <c r="CF298" s="465"/>
      <c r="CG298" s="465"/>
      <c r="CH298" s="465"/>
      <c r="CI298" s="465"/>
      <c r="CJ298" s="465"/>
      <c r="CK298" s="465"/>
      <c r="CL298" s="465"/>
      <c r="CM298" s="466"/>
      <c r="CN298" s="198"/>
      <c r="CO298" s="198"/>
      <c r="CP298" s="198"/>
      <c r="CQ298" s="98"/>
    </row>
    <row r="299" spans="1:95" ht="20.25" customHeight="1">
      <c r="A299" s="417" t="s">
        <v>89</v>
      </c>
      <c r="B299" s="417"/>
      <c r="C299" s="417"/>
      <c r="D299" s="417"/>
      <c r="E299" s="417"/>
      <c r="F299" s="417"/>
      <c r="G299" s="417"/>
      <c r="H299" s="417"/>
      <c r="I299" s="417"/>
      <c r="J299" s="417"/>
      <c r="K299" s="178"/>
      <c r="M299" s="196"/>
      <c r="N299" s="197"/>
      <c r="O299" s="197"/>
      <c r="P299" s="197"/>
      <c r="Q299" s="197"/>
      <c r="R299" s="197"/>
      <c r="S299" s="197"/>
      <c r="T299" s="464"/>
      <c r="U299" s="465"/>
      <c r="V299" s="465"/>
      <c r="W299" s="465"/>
      <c r="X299" s="465"/>
      <c r="Y299" s="465"/>
      <c r="Z299" s="465"/>
      <c r="AA299" s="465"/>
      <c r="AB299" s="465"/>
      <c r="AC299" s="465"/>
      <c r="AD299" s="465"/>
      <c r="AE299" s="465"/>
      <c r="AF299" s="465"/>
      <c r="AG299" s="465"/>
      <c r="AH299" s="465"/>
      <c r="AI299" s="465"/>
      <c r="AJ299" s="465"/>
      <c r="AK299" s="465"/>
      <c r="AL299" s="465"/>
      <c r="AM299" s="465"/>
      <c r="AN299" s="465"/>
      <c r="AO299" s="465"/>
      <c r="AP299" s="465"/>
      <c r="AQ299" s="466"/>
      <c r="AR299" s="464"/>
      <c r="AS299" s="465"/>
      <c r="AT299" s="465"/>
      <c r="AU299" s="465"/>
      <c r="AV299" s="465"/>
      <c r="AW299" s="465"/>
      <c r="AX299" s="465"/>
      <c r="AY299" s="465"/>
      <c r="AZ299" s="465"/>
      <c r="BA299" s="465"/>
      <c r="BB299" s="465"/>
      <c r="BC299" s="465"/>
      <c r="BD299" s="465"/>
      <c r="BE299" s="465"/>
      <c r="BF299" s="465"/>
      <c r="BG299" s="465"/>
      <c r="BH299" s="465"/>
      <c r="BI299" s="465"/>
      <c r="BJ299" s="465"/>
      <c r="BK299" s="465"/>
      <c r="BL299" s="465"/>
      <c r="BM299" s="465"/>
      <c r="BN299" s="465"/>
      <c r="BO299" s="466"/>
      <c r="BP299" s="464"/>
      <c r="BQ299" s="465"/>
      <c r="BR299" s="465"/>
      <c r="BS299" s="465"/>
      <c r="BT299" s="465"/>
      <c r="BU299" s="465"/>
      <c r="BV299" s="465"/>
      <c r="BW299" s="465"/>
      <c r="BX299" s="465"/>
      <c r="BY299" s="465"/>
      <c r="BZ299" s="465"/>
      <c r="CA299" s="465"/>
      <c r="CB299" s="465"/>
      <c r="CC299" s="465"/>
      <c r="CD299" s="465"/>
      <c r="CE299" s="465"/>
      <c r="CF299" s="465"/>
      <c r="CG299" s="465"/>
      <c r="CH299" s="465"/>
      <c r="CI299" s="465"/>
      <c r="CJ299" s="465"/>
      <c r="CK299" s="465"/>
      <c r="CL299" s="465"/>
      <c r="CM299" s="466"/>
      <c r="CN299" s="198"/>
      <c r="CO299" s="198"/>
      <c r="CP299" s="198"/>
      <c r="CQ299" s="98"/>
    </row>
    <row r="300" spans="1:95" ht="20.25" customHeight="1">
      <c r="A300" s="418" t="s">
        <v>80</v>
      </c>
      <c r="B300" s="418"/>
      <c r="C300" s="418"/>
      <c r="D300" s="418"/>
      <c r="E300" s="418"/>
      <c r="F300" s="418"/>
      <c r="G300" s="418"/>
      <c r="H300" s="418"/>
      <c r="I300" s="418"/>
      <c r="J300" s="418"/>
      <c r="K300" s="179"/>
      <c r="M300" s="196"/>
      <c r="N300" s="197"/>
      <c r="O300" s="197"/>
      <c r="P300" s="197"/>
      <c r="Q300" s="197"/>
      <c r="R300" s="197"/>
      <c r="S300" s="197"/>
      <c r="T300" s="464"/>
      <c r="U300" s="465"/>
      <c r="V300" s="465"/>
      <c r="W300" s="465"/>
      <c r="X300" s="465"/>
      <c r="Y300" s="465"/>
      <c r="Z300" s="465"/>
      <c r="AA300" s="465"/>
      <c r="AB300" s="465"/>
      <c r="AC300" s="465"/>
      <c r="AD300" s="465"/>
      <c r="AE300" s="465"/>
      <c r="AF300" s="465"/>
      <c r="AG300" s="465"/>
      <c r="AH300" s="465"/>
      <c r="AI300" s="465"/>
      <c r="AJ300" s="465"/>
      <c r="AK300" s="465"/>
      <c r="AL300" s="465"/>
      <c r="AM300" s="465"/>
      <c r="AN300" s="465"/>
      <c r="AO300" s="465"/>
      <c r="AP300" s="465"/>
      <c r="AQ300" s="466"/>
      <c r="AR300" s="464"/>
      <c r="AS300" s="465"/>
      <c r="AT300" s="465"/>
      <c r="AU300" s="465"/>
      <c r="AV300" s="465"/>
      <c r="AW300" s="465"/>
      <c r="AX300" s="465"/>
      <c r="AY300" s="465"/>
      <c r="AZ300" s="465"/>
      <c r="BA300" s="465"/>
      <c r="BB300" s="465"/>
      <c r="BC300" s="465"/>
      <c r="BD300" s="465"/>
      <c r="BE300" s="465"/>
      <c r="BF300" s="465"/>
      <c r="BG300" s="465"/>
      <c r="BH300" s="465"/>
      <c r="BI300" s="465"/>
      <c r="BJ300" s="465"/>
      <c r="BK300" s="465"/>
      <c r="BL300" s="465"/>
      <c r="BM300" s="465"/>
      <c r="BN300" s="465"/>
      <c r="BO300" s="466"/>
      <c r="BP300" s="464"/>
      <c r="BQ300" s="465"/>
      <c r="BR300" s="465"/>
      <c r="BS300" s="465"/>
      <c r="BT300" s="465"/>
      <c r="BU300" s="465"/>
      <c r="BV300" s="465"/>
      <c r="BW300" s="465"/>
      <c r="BX300" s="465"/>
      <c r="BY300" s="465"/>
      <c r="BZ300" s="465"/>
      <c r="CA300" s="465"/>
      <c r="CB300" s="465"/>
      <c r="CC300" s="465"/>
      <c r="CD300" s="465"/>
      <c r="CE300" s="465"/>
      <c r="CF300" s="465"/>
      <c r="CG300" s="465"/>
      <c r="CH300" s="465"/>
      <c r="CI300" s="465"/>
      <c r="CJ300" s="465"/>
      <c r="CK300" s="465"/>
      <c r="CL300" s="465"/>
      <c r="CM300" s="466"/>
      <c r="CN300" s="198"/>
      <c r="CO300" s="198"/>
      <c r="CP300" s="198"/>
      <c r="CQ300" s="98"/>
    </row>
    <row r="301" spans="1:95" ht="18.75" customHeight="1">
      <c r="A301" s="419" t="s">
        <v>81</v>
      </c>
      <c r="B301" s="419"/>
      <c r="C301" s="419"/>
      <c r="D301" s="419"/>
      <c r="E301" s="419"/>
      <c r="F301" s="419"/>
      <c r="G301" s="419"/>
      <c r="H301" s="419"/>
      <c r="I301" s="419"/>
      <c r="J301" s="419"/>
      <c r="K301" s="180"/>
      <c r="M301" s="196"/>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8"/>
      <c r="AK301" s="198"/>
      <c r="AL301" s="198"/>
      <c r="AM301" s="198"/>
      <c r="AN301" s="198"/>
      <c r="AO301" s="198"/>
      <c r="AP301" s="198"/>
      <c r="AQ301" s="198"/>
      <c r="AR301" s="198"/>
      <c r="AS301" s="198"/>
      <c r="AT301" s="198"/>
      <c r="AU301" s="198"/>
      <c r="AV301" s="198"/>
      <c r="AW301" s="198"/>
      <c r="AX301" s="198"/>
      <c r="AY301" s="198"/>
      <c r="AZ301" s="198"/>
      <c r="BA301" s="198"/>
      <c r="BB301" s="198"/>
      <c r="BC301" s="198"/>
      <c r="BD301" s="198"/>
      <c r="BE301" s="198"/>
      <c r="BF301" s="198"/>
      <c r="BG301" s="198"/>
      <c r="BH301" s="198"/>
      <c r="BI301" s="198"/>
      <c r="BJ301" s="198"/>
      <c r="BK301" s="198"/>
      <c r="BL301" s="198"/>
      <c r="BM301" s="198"/>
      <c r="BN301" s="198"/>
      <c r="BO301" s="198"/>
      <c r="BP301" s="198"/>
      <c r="BQ301" s="198"/>
      <c r="BR301" s="198"/>
      <c r="BS301" s="198"/>
      <c r="BT301" s="198"/>
      <c r="BU301" s="198"/>
      <c r="BV301" s="198"/>
      <c r="BW301" s="198"/>
      <c r="BX301" s="198"/>
      <c r="BY301" s="198"/>
      <c r="BZ301" s="198"/>
      <c r="CA301" s="198"/>
      <c r="CB301" s="198"/>
      <c r="CC301" s="198"/>
      <c r="CD301" s="198"/>
      <c r="CE301" s="198"/>
      <c r="CF301" s="198"/>
      <c r="CG301" s="198"/>
      <c r="CH301" s="198"/>
      <c r="CI301" s="198"/>
      <c r="CJ301" s="198"/>
      <c r="CK301" s="198"/>
      <c r="CL301" s="198"/>
      <c r="CM301" s="198"/>
      <c r="CN301" s="198"/>
      <c r="CO301" s="198"/>
      <c r="CP301" s="198"/>
      <c r="CQ301" s="98"/>
    </row>
    <row r="302" spans="1:95" ht="19.5" customHeight="1">
      <c r="A302" s="418" t="s">
        <v>82</v>
      </c>
      <c r="B302" s="418"/>
      <c r="C302" s="418"/>
      <c r="D302" s="418"/>
      <c r="E302" s="418"/>
      <c r="F302" s="418"/>
      <c r="G302" s="418"/>
      <c r="H302" s="418"/>
      <c r="I302" s="418"/>
      <c r="J302" s="418"/>
      <c r="K302" s="179"/>
      <c r="M302" s="196"/>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8"/>
      <c r="AK302" s="198"/>
      <c r="AL302" s="198"/>
      <c r="AM302" s="198"/>
      <c r="AN302" s="198"/>
      <c r="AO302" s="198"/>
      <c r="AP302" s="198"/>
      <c r="AQ302" s="198"/>
      <c r="AR302" s="198"/>
      <c r="AS302" s="198"/>
      <c r="AT302" s="198"/>
      <c r="AU302" s="198"/>
      <c r="AV302" s="198"/>
      <c r="AW302" s="198"/>
      <c r="AX302" s="198"/>
      <c r="AY302" s="198"/>
      <c r="AZ302" s="198"/>
      <c r="BA302" s="198"/>
      <c r="BB302" s="198"/>
      <c r="BC302" s="198"/>
      <c r="BD302" s="198"/>
      <c r="BE302" s="198"/>
      <c r="BF302" s="198"/>
      <c r="BG302" s="198"/>
      <c r="BH302" s="198"/>
      <c r="BI302" s="198"/>
      <c r="BJ302" s="198"/>
      <c r="BK302" s="198"/>
      <c r="BL302" s="198"/>
      <c r="BM302" s="198"/>
      <c r="BN302" s="198"/>
      <c r="BO302" s="198"/>
      <c r="BP302" s="198"/>
      <c r="BQ302" s="198"/>
      <c r="BR302" s="198"/>
      <c r="BS302" s="198"/>
      <c r="BT302" s="198"/>
      <c r="BU302" s="198"/>
      <c r="BV302" s="198"/>
      <c r="BW302" s="198"/>
      <c r="BX302" s="198"/>
      <c r="BY302" s="198"/>
      <c r="BZ302" s="198"/>
      <c r="CA302" s="198"/>
      <c r="CB302" s="198"/>
      <c r="CC302" s="198"/>
      <c r="CD302" s="198"/>
      <c r="CE302" s="198"/>
      <c r="CF302" s="198"/>
      <c r="CG302" s="198"/>
      <c r="CH302" s="198"/>
      <c r="CI302" s="198"/>
      <c r="CJ302" s="198"/>
      <c r="CK302" s="198"/>
      <c r="CL302" s="198"/>
      <c r="CM302" s="198"/>
      <c r="CN302" s="198"/>
      <c r="CO302" s="198"/>
      <c r="CP302" s="198"/>
      <c r="CQ302" s="98"/>
    </row>
    <row r="303" spans="1:95" ht="30" customHeight="1">
      <c r="A303" s="418" t="s">
        <v>83</v>
      </c>
      <c r="B303" s="418"/>
      <c r="C303" s="418"/>
      <c r="D303" s="418"/>
      <c r="E303" s="418"/>
      <c r="F303" s="418"/>
      <c r="G303" s="418"/>
      <c r="H303" s="418"/>
      <c r="I303" s="418"/>
      <c r="J303" s="418"/>
      <c r="K303" s="179"/>
      <c r="M303" s="196"/>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c r="AI303" s="197"/>
      <c r="AJ303" s="198"/>
      <c r="AK303" s="198"/>
      <c r="AL303" s="198"/>
      <c r="AM303" s="198"/>
      <c r="AN303" s="198"/>
      <c r="AO303" s="198"/>
      <c r="AP303" s="198"/>
      <c r="AQ303" s="198"/>
      <c r="AR303" s="198"/>
      <c r="AS303" s="198"/>
      <c r="AT303" s="198"/>
      <c r="AU303" s="198"/>
      <c r="AV303" s="198"/>
      <c r="AW303" s="198"/>
      <c r="AX303" s="198"/>
      <c r="AY303" s="198"/>
      <c r="AZ303" s="198"/>
      <c r="BA303" s="198"/>
      <c r="BB303" s="198"/>
      <c r="BC303" s="198"/>
      <c r="BD303" s="198"/>
      <c r="BE303" s="198"/>
      <c r="BF303" s="198"/>
      <c r="BG303" s="198"/>
      <c r="BH303" s="198"/>
      <c r="BI303" s="198"/>
      <c r="BJ303" s="198"/>
      <c r="BK303" s="198"/>
      <c r="BL303" s="198"/>
      <c r="BM303" s="198"/>
      <c r="BN303" s="198"/>
      <c r="BO303" s="198"/>
      <c r="BP303" s="198"/>
      <c r="BQ303" s="198"/>
      <c r="BR303" s="198"/>
      <c r="BS303" s="198"/>
      <c r="BT303" s="198"/>
      <c r="BU303" s="198"/>
      <c r="BV303" s="198"/>
      <c r="BW303" s="198"/>
      <c r="BX303" s="198"/>
      <c r="BY303" s="198"/>
      <c r="BZ303" s="198"/>
      <c r="CA303" s="198"/>
      <c r="CB303" s="198"/>
      <c r="CC303" s="198"/>
      <c r="CD303" s="198"/>
      <c r="CE303" s="198"/>
      <c r="CF303" s="198"/>
      <c r="CG303" s="198"/>
      <c r="CH303" s="198"/>
      <c r="CI303" s="198"/>
      <c r="CJ303" s="198"/>
      <c r="CK303" s="198"/>
      <c r="CL303" s="198"/>
      <c r="CM303" s="198"/>
      <c r="CN303" s="198"/>
      <c r="CO303" s="198"/>
      <c r="CP303" s="198"/>
      <c r="CQ303" s="98"/>
    </row>
    <row r="304" spans="1:95" ht="18" customHeight="1">
      <c r="A304" s="419" t="s">
        <v>84</v>
      </c>
      <c r="B304" s="419"/>
      <c r="C304" s="419"/>
      <c r="D304" s="419"/>
      <c r="E304" s="419"/>
      <c r="F304" s="419"/>
      <c r="G304" s="419"/>
      <c r="H304" s="419"/>
      <c r="I304" s="419"/>
      <c r="J304" s="419"/>
      <c r="K304" s="180"/>
      <c r="M304" s="196"/>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8"/>
      <c r="AK304" s="198"/>
      <c r="AL304" s="198"/>
      <c r="AM304" s="198"/>
      <c r="AN304" s="198"/>
      <c r="AO304" s="198"/>
      <c r="AP304" s="198"/>
      <c r="AQ304" s="198"/>
      <c r="AR304" s="198"/>
      <c r="AS304" s="198"/>
      <c r="AT304" s="198"/>
      <c r="AU304" s="198"/>
      <c r="AV304" s="198"/>
      <c r="AW304" s="198"/>
      <c r="AX304" s="198"/>
      <c r="AY304" s="198"/>
      <c r="AZ304" s="198"/>
      <c r="BA304" s="198"/>
      <c r="BB304" s="198"/>
      <c r="BC304" s="198"/>
      <c r="BD304" s="198"/>
      <c r="BE304" s="198"/>
      <c r="BF304" s="198"/>
      <c r="BG304" s="198"/>
      <c r="BH304" s="198"/>
      <c r="BI304" s="198"/>
      <c r="BJ304" s="198"/>
      <c r="BK304" s="198"/>
      <c r="BL304" s="198"/>
      <c r="BM304" s="198"/>
      <c r="BN304" s="198"/>
      <c r="BO304" s="198"/>
      <c r="BP304" s="198"/>
      <c r="BQ304" s="198"/>
      <c r="BR304" s="198"/>
      <c r="BS304" s="198"/>
      <c r="BT304" s="198"/>
      <c r="BU304" s="198"/>
      <c r="BV304" s="198"/>
      <c r="BW304" s="198"/>
      <c r="BX304" s="198"/>
      <c r="BY304" s="198"/>
      <c r="BZ304" s="198"/>
      <c r="CA304" s="198"/>
      <c r="CB304" s="198"/>
      <c r="CC304" s="198"/>
      <c r="CD304" s="198"/>
      <c r="CE304" s="198"/>
      <c r="CF304" s="198"/>
      <c r="CG304" s="198"/>
      <c r="CH304" s="198"/>
      <c r="CI304" s="198"/>
      <c r="CJ304" s="198"/>
      <c r="CK304" s="198"/>
      <c r="CL304" s="198"/>
      <c r="CM304" s="198"/>
      <c r="CN304" s="198"/>
      <c r="CO304" s="198"/>
      <c r="CP304" s="198"/>
      <c r="CQ304" s="98"/>
    </row>
    <row r="305" spans="1:11" ht="68.25" customHeight="1">
      <c r="A305" s="417" t="s">
        <v>85</v>
      </c>
      <c r="B305" s="417"/>
      <c r="C305" s="417"/>
      <c r="D305" s="417"/>
      <c r="E305" s="417"/>
      <c r="F305" s="417"/>
      <c r="G305" s="417"/>
      <c r="H305" s="417"/>
      <c r="I305" s="417"/>
      <c r="J305" s="417"/>
      <c r="K305" s="178"/>
    </row>
    <row r="306" spans="1:11" ht="56.25" customHeight="1">
      <c r="A306" s="417" t="s">
        <v>86</v>
      </c>
      <c r="B306" s="417"/>
      <c r="C306" s="417"/>
      <c r="D306" s="417"/>
      <c r="E306" s="417"/>
      <c r="F306" s="417"/>
      <c r="G306" s="417"/>
      <c r="H306" s="417"/>
      <c r="I306" s="417"/>
      <c r="J306" s="417"/>
      <c r="K306" s="178"/>
    </row>
    <row r="307" spans="1:11" ht="15" customHeight="1">
      <c r="A307" s="424" t="s">
        <v>110</v>
      </c>
      <c r="B307" s="424"/>
      <c r="C307" s="424"/>
      <c r="D307" s="424"/>
      <c r="E307" s="424"/>
      <c r="F307" s="424"/>
      <c r="G307" s="424"/>
      <c r="H307" s="424"/>
      <c r="I307" s="424"/>
      <c r="J307" s="424"/>
      <c r="K307" s="183"/>
    </row>
    <row r="308" spans="1:11" ht="36.75" customHeight="1">
      <c r="A308" s="432" t="s">
        <v>87</v>
      </c>
      <c r="B308" s="432"/>
      <c r="C308" s="432"/>
      <c r="D308" s="432"/>
      <c r="E308" s="432"/>
      <c r="F308" s="432"/>
      <c r="G308" s="432"/>
      <c r="H308" s="432"/>
      <c r="I308" s="432"/>
      <c r="J308" s="432"/>
      <c r="K308" s="182"/>
    </row>
    <row r="309" spans="1:11" ht="40.5" customHeight="1">
      <c r="A309" s="417" t="s">
        <v>88</v>
      </c>
      <c r="B309" s="417"/>
      <c r="C309" s="417"/>
      <c r="D309" s="417"/>
      <c r="E309" s="417"/>
      <c r="F309" s="417"/>
      <c r="G309" s="417"/>
      <c r="H309" s="417"/>
      <c r="I309" s="417"/>
      <c r="J309" s="417"/>
      <c r="K309" s="178"/>
    </row>
    <row r="310" spans="1:11" ht="19.5" customHeight="1">
      <c r="A310" s="419" t="s">
        <v>90</v>
      </c>
      <c r="B310" s="419"/>
      <c r="C310" s="419"/>
      <c r="D310" s="419"/>
      <c r="E310" s="419"/>
      <c r="F310" s="419"/>
      <c r="G310" s="419"/>
      <c r="H310" s="419"/>
      <c r="I310" s="419"/>
      <c r="J310" s="419"/>
      <c r="K310" s="180"/>
    </row>
    <row r="311" spans="1:11" ht="33.75" customHeight="1">
      <c r="A311" s="432" t="s">
        <v>109</v>
      </c>
      <c r="B311" s="432"/>
      <c r="C311" s="432"/>
      <c r="D311" s="432"/>
      <c r="E311" s="432"/>
      <c r="F311" s="432"/>
      <c r="G311" s="432"/>
      <c r="H311" s="432"/>
      <c r="I311" s="432"/>
      <c r="J311" s="432"/>
      <c r="K311" s="182"/>
    </row>
  </sheetData>
  <mergeCells count="1357">
    <mergeCell ref="R214:AM214"/>
    <mergeCell ref="AN214:BI214"/>
    <mergeCell ref="BJ214:CE214"/>
    <mergeCell ref="CF214:DA214"/>
    <mergeCell ref="CF80:DA80"/>
    <mergeCell ref="R81:AM81"/>
    <mergeCell ref="AN81:BI81"/>
    <mergeCell ref="BJ81:CE81"/>
    <mergeCell ref="CF81:DA81"/>
    <mergeCell ref="R82:AM82"/>
    <mergeCell ref="AN82:BI82"/>
    <mergeCell ref="BJ82:CE82"/>
    <mergeCell ref="CF82:DA82"/>
    <mergeCell ref="R83:AM83"/>
    <mergeCell ref="AN83:BI83"/>
    <mergeCell ref="BJ83:CE83"/>
    <mergeCell ref="CF83:DA83"/>
    <mergeCell ref="R84:AM84"/>
    <mergeCell ref="AN84:BI84"/>
    <mergeCell ref="BJ84:CE84"/>
    <mergeCell ref="CF84:DA84"/>
    <mergeCell ref="T211:AQ211"/>
    <mergeCell ref="AR211:BO211"/>
    <mergeCell ref="BP211:CM211"/>
    <mergeCell ref="T212:AQ212"/>
    <mergeCell ref="AR212:BO212"/>
    <mergeCell ref="BP212:CM212"/>
    <mergeCell ref="T213:AQ213"/>
    <mergeCell ref="AR213:BO213"/>
    <mergeCell ref="BP213:CM213"/>
    <mergeCell ref="T208:AQ208"/>
    <mergeCell ref="AR208:BO208"/>
    <mergeCell ref="T299:AQ299"/>
    <mergeCell ref="AR299:BO299"/>
    <mergeCell ref="BP299:CM299"/>
    <mergeCell ref="T300:AQ300"/>
    <mergeCell ref="AR300:BO300"/>
    <mergeCell ref="BP300:CM300"/>
    <mergeCell ref="AF70:AV70"/>
    <mergeCell ref="AW70:BM70"/>
    <mergeCell ref="BN70:CD70"/>
    <mergeCell ref="O71:AE71"/>
    <mergeCell ref="AF71:AV71"/>
    <mergeCell ref="AW71:BM71"/>
    <mergeCell ref="BN71:CD71"/>
    <mergeCell ref="O72:AE72"/>
    <mergeCell ref="AF72:AV72"/>
    <mergeCell ref="AW72:BM72"/>
    <mergeCell ref="BN72:CD72"/>
    <mergeCell ref="O73:AE73"/>
    <mergeCell ref="AF73:AV73"/>
    <mergeCell ref="AW73:BM73"/>
    <mergeCell ref="BN73:CD73"/>
    <mergeCell ref="O74:AE74"/>
    <mergeCell ref="T296:AQ296"/>
    <mergeCell ref="AR296:BO296"/>
    <mergeCell ref="BP296:CM296"/>
    <mergeCell ref="T297:AQ297"/>
    <mergeCell ref="AR297:BO297"/>
    <mergeCell ref="BP297:CM297"/>
    <mergeCell ref="T298:AQ298"/>
    <mergeCell ref="AR298:BO298"/>
    <mergeCell ref="BP298:CM298"/>
    <mergeCell ref="T293:AQ293"/>
    <mergeCell ref="AR293:BO293"/>
    <mergeCell ref="BP293:CM293"/>
    <mergeCell ref="T294:AQ294"/>
    <mergeCell ref="AR294:BO294"/>
    <mergeCell ref="BP294:CM294"/>
    <mergeCell ref="T295:AQ295"/>
    <mergeCell ref="AR295:BO295"/>
    <mergeCell ref="BP295:CM295"/>
    <mergeCell ref="T290:AQ290"/>
    <mergeCell ref="AR290:BO290"/>
    <mergeCell ref="BP290:CM290"/>
    <mergeCell ref="T291:AQ291"/>
    <mergeCell ref="AR291:BO291"/>
    <mergeCell ref="BP291:CM291"/>
    <mergeCell ref="T292:AQ292"/>
    <mergeCell ref="AR292:BO292"/>
    <mergeCell ref="BP292:CM292"/>
    <mergeCell ref="T287:AQ287"/>
    <mergeCell ref="AR287:BO287"/>
    <mergeCell ref="BP287:CM287"/>
    <mergeCell ref="T288:AQ288"/>
    <mergeCell ref="AR288:BO288"/>
    <mergeCell ref="BP288:CM288"/>
    <mergeCell ref="T289:AQ289"/>
    <mergeCell ref="AR289:BO289"/>
    <mergeCell ref="BP289:CM289"/>
    <mergeCell ref="T282:AQ282"/>
    <mergeCell ref="AR282:BO282"/>
    <mergeCell ref="BP282:CM282"/>
    <mergeCell ref="T285:AQ285"/>
    <mergeCell ref="AR285:BO285"/>
    <mergeCell ref="BP285:CM285"/>
    <mergeCell ref="T286:AQ286"/>
    <mergeCell ref="AR286:BO286"/>
    <mergeCell ref="BP286:CM286"/>
    <mergeCell ref="T279:AQ279"/>
    <mergeCell ref="AR279:BO279"/>
    <mergeCell ref="BP279:CM279"/>
    <mergeCell ref="T280:AQ280"/>
    <mergeCell ref="AR280:BO280"/>
    <mergeCell ref="BP280:CM280"/>
    <mergeCell ref="T281:AQ281"/>
    <mergeCell ref="AR281:BO281"/>
    <mergeCell ref="BP281:CM281"/>
    <mergeCell ref="T276:AQ276"/>
    <mergeCell ref="AR276:BO276"/>
    <mergeCell ref="BP276:CM276"/>
    <mergeCell ref="T277:AQ277"/>
    <mergeCell ref="AR277:BO277"/>
    <mergeCell ref="BP277:CM277"/>
    <mergeCell ref="T278:AQ278"/>
    <mergeCell ref="AR278:BO278"/>
    <mergeCell ref="BP278:CM278"/>
    <mergeCell ref="T273:AQ273"/>
    <mergeCell ref="AR273:BO273"/>
    <mergeCell ref="BP273:CM273"/>
    <mergeCell ref="T274:AQ274"/>
    <mergeCell ref="AR274:BO274"/>
    <mergeCell ref="BP274:CM274"/>
    <mergeCell ref="T275:AQ275"/>
    <mergeCell ref="AR275:BO275"/>
    <mergeCell ref="BP275:CM275"/>
    <mergeCell ref="T270:AQ270"/>
    <mergeCell ref="AR270:BO270"/>
    <mergeCell ref="BP270:CM270"/>
    <mergeCell ref="T271:AQ271"/>
    <mergeCell ref="AR271:BO271"/>
    <mergeCell ref="BP271:CM271"/>
    <mergeCell ref="T272:AQ272"/>
    <mergeCell ref="AR272:BO272"/>
    <mergeCell ref="BP272:CM272"/>
    <mergeCell ref="T267:AQ267"/>
    <mergeCell ref="AR267:BO267"/>
    <mergeCell ref="BP267:CM267"/>
    <mergeCell ref="T268:AQ268"/>
    <mergeCell ref="AR268:BO268"/>
    <mergeCell ref="BP268:CM268"/>
    <mergeCell ref="T269:AQ269"/>
    <mergeCell ref="AR269:BO269"/>
    <mergeCell ref="BP269:CM269"/>
    <mergeCell ref="T264:AQ264"/>
    <mergeCell ref="AR264:BO264"/>
    <mergeCell ref="BP264:CM264"/>
    <mergeCell ref="T265:AQ265"/>
    <mergeCell ref="AR265:BO265"/>
    <mergeCell ref="BP265:CM265"/>
    <mergeCell ref="T266:AQ266"/>
    <mergeCell ref="AR266:BO266"/>
    <mergeCell ref="BP266:CM266"/>
    <mergeCell ref="T261:AQ261"/>
    <mergeCell ref="AR261:BO261"/>
    <mergeCell ref="BP261:CM261"/>
    <mergeCell ref="T262:AQ262"/>
    <mergeCell ref="AR262:BO262"/>
    <mergeCell ref="BP262:CM262"/>
    <mergeCell ref="T263:AQ263"/>
    <mergeCell ref="AR263:BO263"/>
    <mergeCell ref="BP263:CM263"/>
    <mergeCell ref="T258:AQ258"/>
    <mergeCell ref="AR258:BO258"/>
    <mergeCell ref="BP258:CM258"/>
    <mergeCell ref="T259:AQ259"/>
    <mergeCell ref="AR259:BO259"/>
    <mergeCell ref="BP259:CM259"/>
    <mergeCell ref="T260:AQ260"/>
    <mergeCell ref="AR260:BO260"/>
    <mergeCell ref="BP260:CM260"/>
    <mergeCell ref="T255:AQ255"/>
    <mergeCell ref="AR255:BO255"/>
    <mergeCell ref="BP255:CM255"/>
    <mergeCell ref="T256:AQ256"/>
    <mergeCell ref="AR256:BO256"/>
    <mergeCell ref="BP256:CM256"/>
    <mergeCell ref="T257:AQ257"/>
    <mergeCell ref="AR257:BO257"/>
    <mergeCell ref="BP257:CM257"/>
    <mergeCell ref="T252:AQ252"/>
    <mergeCell ref="AR252:BO252"/>
    <mergeCell ref="BP252:CM252"/>
    <mergeCell ref="T253:AQ253"/>
    <mergeCell ref="AR253:BO253"/>
    <mergeCell ref="BP253:CM253"/>
    <mergeCell ref="T254:AQ254"/>
    <mergeCell ref="AR254:BO254"/>
    <mergeCell ref="BP254:CM254"/>
    <mergeCell ref="T249:AQ249"/>
    <mergeCell ref="AR249:BO249"/>
    <mergeCell ref="BP249:CM249"/>
    <mergeCell ref="T250:AQ250"/>
    <mergeCell ref="AR250:BO250"/>
    <mergeCell ref="BP250:CM250"/>
    <mergeCell ref="T251:AQ251"/>
    <mergeCell ref="AR251:BO251"/>
    <mergeCell ref="BP251:CM251"/>
    <mergeCell ref="T246:AQ246"/>
    <mergeCell ref="AR246:BO246"/>
    <mergeCell ref="BP246:CM246"/>
    <mergeCell ref="T247:AQ247"/>
    <mergeCell ref="AR247:BO247"/>
    <mergeCell ref="BP247:CM247"/>
    <mergeCell ref="T248:AQ248"/>
    <mergeCell ref="AR248:BO248"/>
    <mergeCell ref="BP248:CM248"/>
    <mergeCell ref="T243:AQ243"/>
    <mergeCell ref="AR243:BO243"/>
    <mergeCell ref="BP243:CM243"/>
    <mergeCell ref="T244:AQ244"/>
    <mergeCell ref="AR244:BO244"/>
    <mergeCell ref="BP244:CM244"/>
    <mergeCell ref="T245:AQ245"/>
    <mergeCell ref="AR245:BO245"/>
    <mergeCell ref="BP245:CM245"/>
    <mergeCell ref="T240:AQ240"/>
    <mergeCell ref="AR240:BO240"/>
    <mergeCell ref="BP240:CM240"/>
    <mergeCell ref="T241:AQ241"/>
    <mergeCell ref="AR241:BO241"/>
    <mergeCell ref="BP241:CM241"/>
    <mergeCell ref="T242:AQ242"/>
    <mergeCell ref="AR242:BO242"/>
    <mergeCell ref="BP242:CM242"/>
    <mergeCell ref="T237:AQ237"/>
    <mergeCell ref="AR237:BO237"/>
    <mergeCell ref="BP237:CM237"/>
    <mergeCell ref="T238:AQ238"/>
    <mergeCell ref="AR238:BO238"/>
    <mergeCell ref="BP238:CM238"/>
    <mergeCell ref="T239:AQ239"/>
    <mergeCell ref="AR239:BO239"/>
    <mergeCell ref="BP239:CM239"/>
    <mergeCell ref="T234:AQ234"/>
    <mergeCell ref="AR234:BO234"/>
    <mergeCell ref="BP234:CM234"/>
    <mergeCell ref="T235:AQ235"/>
    <mergeCell ref="AR235:BO235"/>
    <mergeCell ref="BP235:CM235"/>
    <mergeCell ref="T236:AQ236"/>
    <mergeCell ref="AR236:BO236"/>
    <mergeCell ref="BP236:CM236"/>
    <mergeCell ref="T231:AQ231"/>
    <mergeCell ref="AR231:BO231"/>
    <mergeCell ref="BP231:CM231"/>
    <mergeCell ref="T232:AQ232"/>
    <mergeCell ref="AR232:BO232"/>
    <mergeCell ref="BP232:CM232"/>
    <mergeCell ref="T233:AQ233"/>
    <mergeCell ref="AR233:BO233"/>
    <mergeCell ref="BP233:CM233"/>
    <mergeCell ref="T228:AQ228"/>
    <mergeCell ref="AR228:BO228"/>
    <mergeCell ref="BP228:CM228"/>
    <mergeCell ref="T229:AQ229"/>
    <mergeCell ref="AR229:BO229"/>
    <mergeCell ref="BP229:CM229"/>
    <mergeCell ref="T230:AQ230"/>
    <mergeCell ref="AR230:BO230"/>
    <mergeCell ref="BP230:CM230"/>
    <mergeCell ref="T224:AQ224"/>
    <mergeCell ref="AR224:BO224"/>
    <mergeCell ref="BP224:CM224"/>
    <mergeCell ref="T225:AQ225"/>
    <mergeCell ref="AR225:BO225"/>
    <mergeCell ref="BP225:CM225"/>
    <mergeCell ref="T227:AQ227"/>
    <mergeCell ref="AR227:BO227"/>
    <mergeCell ref="BP227:CM227"/>
    <mergeCell ref="T221:AQ221"/>
    <mergeCell ref="AR221:BO221"/>
    <mergeCell ref="BP221:CM221"/>
    <mergeCell ref="T222:AQ222"/>
    <mergeCell ref="AR222:BO222"/>
    <mergeCell ref="BP222:CM222"/>
    <mergeCell ref="T223:AQ223"/>
    <mergeCell ref="AR223:BO223"/>
    <mergeCell ref="BP223:CM223"/>
    <mergeCell ref="T218:AQ218"/>
    <mergeCell ref="AR218:BO218"/>
    <mergeCell ref="BP218:CM218"/>
    <mergeCell ref="T219:AQ219"/>
    <mergeCell ref="AR219:BO219"/>
    <mergeCell ref="BP219:CM219"/>
    <mergeCell ref="T220:AQ220"/>
    <mergeCell ref="AR220:BO220"/>
    <mergeCell ref="BP220:CM220"/>
    <mergeCell ref="T215:AQ215"/>
    <mergeCell ref="AR215:BO215"/>
    <mergeCell ref="BP215:CM215"/>
    <mergeCell ref="T216:AQ216"/>
    <mergeCell ref="AR216:BO216"/>
    <mergeCell ref="BP216:CM216"/>
    <mergeCell ref="T217:AQ217"/>
    <mergeCell ref="AR217:BO217"/>
    <mergeCell ref="BP217:CM217"/>
    <mergeCell ref="BP208:CM208"/>
    <mergeCell ref="T209:AQ209"/>
    <mergeCell ref="AR209:BO209"/>
    <mergeCell ref="BP209:CM209"/>
    <mergeCell ref="T210:AQ210"/>
    <mergeCell ref="AR210:BO210"/>
    <mergeCell ref="BP210:CM210"/>
    <mergeCell ref="T205:AQ205"/>
    <mergeCell ref="AR205:BO205"/>
    <mergeCell ref="BP205:CM205"/>
    <mergeCell ref="T206:AQ206"/>
    <mergeCell ref="AR206:BO206"/>
    <mergeCell ref="BP206:CM206"/>
    <mergeCell ref="T207:AQ207"/>
    <mergeCell ref="AR207:BO207"/>
    <mergeCell ref="BP207:CM207"/>
    <mergeCell ref="T202:AQ202"/>
    <mergeCell ref="AR202:BO202"/>
    <mergeCell ref="BP202:CM202"/>
    <mergeCell ref="T203:AQ203"/>
    <mergeCell ref="AR203:BO203"/>
    <mergeCell ref="BP203:CM203"/>
    <mergeCell ref="T204:AQ204"/>
    <mergeCell ref="AR204:BO204"/>
    <mergeCell ref="BP204:CM204"/>
    <mergeCell ref="T199:AQ199"/>
    <mergeCell ref="AR199:BO199"/>
    <mergeCell ref="BP199:CM199"/>
    <mergeCell ref="T200:AQ200"/>
    <mergeCell ref="AR200:BO200"/>
    <mergeCell ref="BP200:CM200"/>
    <mergeCell ref="T201:AQ201"/>
    <mergeCell ref="AR201:BO201"/>
    <mergeCell ref="BP201:CM201"/>
    <mergeCell ref="T196:AQ196"/>
    <mergeCell ref="AR196:BO196"/>
    <mergeCell ref="BP196:CM196"/>
    <mergeCell ref="T197:AQ197"/>
    <mergeCell ref="AR197:BO197"/>
    <mergeCell ref="BP197:CM197"/>
    <mergeCell ref="T198:AQ198"/>
    <mergeCell ref="AR198:BO198"/>
    <mergeCell ref="BP198:CM198"/>
    <mergeCell ref="T193:AQ193"/>
    <mergeCell ref="AR193:BO193"/>
    <mergeCell ref="BP193:CM193"/>
    <mergeCell ref="T194:AQ194"/>
    <mergeCell ref="AR194:BO194"/>
    <mergeCell ref="BP194:CM194"/>
    <mergeCell ref="T195:AQ195"/>
    <mergeCell ref="AR195:BO195"/>
    <mergeCell ref="BP195:CM195"/>
    <mergeCell ref="T190:AQ190"/>
    <mergeCell ref="AR190:BO190"/>
    <mergeCell ref="BP190:CM190"/>
    <mergeCell ref="T191:AQ191"/>
    <mergeCell ref="AR191:BO191"/>
    <mergeCell ref="BP191:CM191"/>
    <mergeCell ref="T192:AQ192"/>
    <mergeCell ref="AR192:BO192"/>
    <mergeCell ref="BP192:CM192"/>
    <mergeCell ref="T187:AQ187"/>
    <mergeCell ref="AR187:BO187"/>
    <mergeCell ref="BP187:CM187"/>
    <mergeCell ref="T188:AQ188"/>
    <mergeCell ref="AR188:BO188"/>
    <mergeCell ref="BP188:CM188"/>
    <mergeCell ref="T189:AQ189"/>
    <mergeCell ref="AR189:BO189"/>
    <mergeCell ref="BP189:CM189"/>
    <mergeCell ref="T184:AQ184"/>
    <mergeCell ref="AR184:BO184"/>
    <mergeCell ref="BP184:CM184"/>
    <mergeCell ref="T185:AQ185"/>
    <mergeCell ref="AR185:BO185"/>
    <mergeCell ref="BP185:CM185"/>
    <mergeCell ref="T186:AQ186"/>
    <mergeCell ref="AR186:BO186"/>
    <mergeCell ref="BP186:CM186"/>
    <mergeCell ref="T181:AQ181"/>
    <mergeCell ref="AR181:BO181"/>
    <mergeCell ref="BP181:CM181"/>
    <mergeCell ref="T182:AQ182"/>
    <mergeCell ref="AR182:BO182"/>
    <mergeCell ref="BP182:CM182"/>
    <mergeCell ref="T183:AQ183"/>
    <mergeCell ref="AR183:BO183"/>
    <mergeCell ref="BP183:CM183"/>
    <mergeCell ref="T178:AQ178"/>
    <mergeCell ref="AR178:BO178"/>
    <mergeCell ref="BP178:CM178"/>
    <mergeCell ref="T179:AQ179"/>
    <mergeCell ref="AR179:BO179"/>
    <mergeCell ref="BP179:CM179"/>
    <mergeCell ref="T180:AQ180"/>
    <mergeCell ref="AR180:BO180"/>
    <mergeCell ref="BP180:CM180"/>
    <mergeCell ref="T175:AQ175"/>
    <mergeCell ref="AR175:BO175"/>
    <mergeCell ref="BP175:CM175"/>
    <mergeCell ref="T176:AQ176"/>
    <mergeCell ref="AR176:BO176"/>
    <mergeCell ref="BP176:CM176"/>
    <mergeCell ref="T177:AQ177"/>
    <mergeCell ref="AR177:BO177"/>
    <mergeCell ref="BP177:CM177"/>
    <mergeCell ref="T172:AQ172"/>
    <mergeCell ref="AR172:BO172"/>
    <mergeCell ref="BP172:CM172"/>
    <mergeCell ref="T173:AQ173"/>
    <mergeCell ref="AR173:BO173"/>
    <mergeCell ref="BP173:CM173"/>
    <mergeCell ref="T174:AQ174"/>
    <mergeCell ref="AR174:BO174"/>
    <mergeCell ref="BP174:CM174"/>
    <mergeCell ref="T169:AQ169"/>
    <mergeCell ref="AR169:BO169"/>
    <mergeCell ref="BP169:CM169"/>
    <mergeCell ref="T170:AQ170"/>
    <mergeCell ref="AR170:BO170"/>
    <mergeCell ref="BP170:CM170"/>
    <mergeCell ref="T171:AQ171"/>
    <mergeCell ref="AR171:BO171"/>
    <mergeCell ref="BP171:CM171"/>
    <mergeCell ref="T166:AQ166"/>
    <mergeCell ref="AR166:BO166"/>
    <mergeCell ref="BP166:CM166"/>
    <mergeCell ref="T167:AQ167"/>
    <mergeCell ref="AR167:BO167"/>
    <mergeCell ref="BP167:CM167"/>
    <mergeCell ref="T168:AQ168"/>
    <mergeCell ref="AR168:BO168"/>
    <mergeCell ref="BP168:CM168"/>
    <mergeCell ref="T163:AQ163"/>
    <mergeCell ref="AR163:BO163"/>
    <mergeCell ref="BP163:CM163"/>
    <mergeCell ref="T164:AQ164"/>
    <mergeCell ref="AR164:BO164"/>
    <mergeCell ref="BP164:CM164"/>
    <mergeCell ref="T165:AQ165"/>
    <mergeCell ref="AR165:BO165"/>
    <mergeCell ref="BP165:CM165"/>
    <mergeCell ref="T160:AQ160"/>
    <mergeCell ref="AR160:BO160"/>
    <mergeCell ref="BP160:CM160"/>
    <mergeCell ref="T161:AQ161"/>
    <mergeCell ref="AR161:BO161"/>
    <mergeCell ref="BP161:CM161"/>
    <mergeCell ref="T162:AQ162"/>
    <mergeCell ref="AR162:BO162"/>
    <mergeCell ref="BP162:CM162"/>
    <mergeCell ref="T157:AQ157"/>
    <mergeCell ref="AR157:BO157"/>
    <mergeCell ref="BP157:CM157"/>
    <mergeCell ref="T158:AQ158"/>
    <mergeCell ref="AR158:BO158"/>
    <mergeCell ref="BP158:CM158"/>
    <mergeCell ref="T159:AQ159"/>
    <mergeCell ref="AR159:BO159"/>
    <mergeCell ref="BP159:CM159"/>
    <mergeCell ref="T154:AQ154"/>
    <mergeCell ref="AR154:BO154"/>
    <mergeCell ref="BP154:CM154"/>
    <mergeCell ref="T155:AQ155"/>
    <mergeCell ref="AR155:BO155"/>
    <mergeCell ref="BP155:CM155"/>
    <mergeCell ref="T156:AQ156"/>
    <mergeCell ref="AR156:BO156"/>
    <mergeCell ref="BP156:CM156"/>
    <mergeCell ref="T152:AQ152"/>
    <mergeCell ref="AR152:BO152"/>
    <mergeCell ref="BP152:CM152"/>
    <mergeCell ref="T153:AQ153"/>
    <mergeCell ref="AR153:BO153"/>
    <mergeCell ref="BP153:CM153"/>
    <mergeCell ref="T151:AQ151"/>
    <mergeCell ref="AR151:BO151"/>
    <mergeCell ref="BP151:CM151"/>
    <mergeCell ref="T148:AQ148"/>
    <mergeCell ref="AR148:BO148"/>
    <mergeCell ref="BP148:CM148"/>
    <mergeCell ref="T149:AQ149"/>
    <mergeCell ref="AR149:BO149"/>
    <mergeCell ref="BP149:CM149"/>
    <mergeCell ref="T150:AQ150"/>
    <mergeCell ref="AR150:BO150"/>
    <mergeCell ref="BP150:CM150"/>
    <mergeCell ref="T145:AQ145"/>
    <mergeCell ref="AR145:BO145"/>
    <mergeCell ref="BP145:CM145"/>
    <mergeCell ref="T146:AQ146"/>
    <mergeCell ref="AR146:BO146"/>
    <mergeCell ref="BP146:CM146"/>
    <mergeCell ref="T147:AQ147"/>
    <mergeCell ref="AR147:BO147"/>
    <mergeCell ref="BP147:CM147"/>
    <mergeCell ref="T142:AQ142"/>
    <mergeCell ref="AR142:BO142"/>
    <mergeCell ref="BP142:CM142"/>
    <mergeCell ref="T143:AQ143"/>
    <mergeCell ref="AR143:BO143"/>
    <mergeCell ref="BP143:CM143"/>
    <mergeCell ref="T144:AQ144"/>
    <mergeCell ref="AR144:BO144"/>
    <mergeCell ref="BP144:CM144"/>
    <mergeCell ref="T139:AQ139"/>
    <mergeCell ref="AR139:BO139"/>
    <mergeCell ref="BP139:CM139"/>
    <mergeCell ref="T140:AQ140"/>
    <mergeCell ref="AR140:BO140"/>
    <mergeCell ref="BP140:CM140"/>
    <mergeCell ref="T141:AQ141"/>
    <mergeCell ref="AR141:BO141"/>
    <mergeCell ref="BP141:CM141"/>
    <mergeCell ref="T136:AQ136"/>
    <mergeCell ref="AR136:BO136"/>
    <mergeCell ref="BP136:CM136"/>
    <mergeCell ref="T137:AQ137"/>
    <mergeCell ref="AR137:BO137"/>
    <mergeCell ref="BP137:CM137"/>
    <mergeCell ref="T138:AQ138"/>
    <mergeCell ref="AR138:BO138"/>
    <mergeCell ref="BP138:CM138"/>
    <mergeCell ref="T133:AQ133"/>
    <mergeCell ref="AR133:BO133"/>
    <mergeCell ref="BP133:CM133"/>
    <mergeCell ref="T134:AQ134"/>
    <mergeCell ref="AR134:BO134"/>
    <mergeCell ref="BP134:CM134"/>
    <mergeCell ref="T135:AQ135"/>
    <mergeCell ref="AR135:BO135"/>
    <mergeCell ref="BP135:CM135"/>
    <mergeCell ref="T130:AQ130"/>
    <mergeCell ref="AR130:BO130"/>
    <mergeCell ref="BP130:CM130"/>
    <mergeCell ref="T131:AQ131"/>
    <mergeCell ref="AR131:BO131"/>
    <mergeCell ref="BP131:CM131"/>
    <mergeCell ref="T132:AQ132"/>
    <mergeCell ref="AR132:BO132"/>
    <mergeCell ref="BP132:CM132"/>
    <mergeCell ref="T127:AQ127"/>
    <mergeCell ref="AR127:BO127"/>
    <mergeCell ref="BP127:CM127"/>
    <mergeCell ref="T128:AQ128"/>
    <mergeCell ref="AR128:BO128"/>
    <mergeCell ref="BP128:CM128"/>
    <mergeCell ref="T129:AQ129"/>
    <mergeCell ref="AR129:BO129"/>
    <mergeCell ref="BP129:CM129"/>
    <mergeCell ref="T124:AQ124"/>
    <mergeCell ref="AR124:BO124"/>
    <mergeCell ref="BP124:CM124"/>
    <mergeCell ref="T125:AQ125"/>
    <mergeCell ref="AR125:BO125"/>
    <mergeCell ref="BP125:CM125"/>
    <mergeCell ref="T126:AQ126"/>
    <mergeCell ref="AR126:BO126"/>
    <mergeCell ref="BP126:CM126"/>
    <mergeCell ref="T122:AQ122"/>
    <mergeCell ref="AR122:BO122"/>
    <mergeCell ref="BP122:CM122"/>
    <mergeCell ref="T123:AQ123"/>
    <mergeCell ref="AR123:BO123"/>
    <mergeCell ref="BP123:CM123"/>
    <mergeCell ref="R85:AM85"/>
    <mergeCell ref="AN85:BI85"/>
    <mergeCell ref="BJ85:CE85"/>
    <mergeCell ref="CF85:DA85"/>
    <mergeCell ref="R86:AM86"/>
    <mergeCell ref="AN86:BI86"/>
    <mergeCell ref="BJ86:CE86"/>
    <mergeCell ref="CF86:DA86"/>
    <mergeCell ref="R87:AM87"/>
    <mergeCell ref="AN87:BI87"/>
    <mergeCell ref="BJ87:CE87"/>
    <mergeCell ref="CF87:DA87"/>
    <mergeCell ref="R88:AM88"/>
    <mergeCell ref="AN88:BI88"/>
    <mergeCell ref="BJ88:CE88"/>
    <mergeCell ref="CF88:DA88"/>
    <mergeCell ref="R89:AM89"/>
    <mergeCell ref="AN89:BI89"/>
    <mergeCell ref="BJ89:CE89"/>
    <mergeCell ref="CF89:DA89"/>
    <mergeCell ref="R90:AM90"/>
    <mergeCell ref="AN90:BI90"/>
    <mergeCell ref="BJ90:CE90"/>
    <mergeCell ref="CF90:DA90"/>
    <mergeCell ref="O78:AE78"/>
    <mergeCell ref="AF78:AV78"/>
    <mergeCell ref="AW78:BM78"/>
    <mergeCell ref="BN78:CD78"/>
    <mergeCell ref="O75:AE75"/>
    <mergeCell ref="AF75:AV75"/>
    <mergeCell ref="AW75:BM75"/>
    <mergeCell ref="BN75:CD75"/>
    <mergeCell ref="O76:AE76"/>
    <mergeCell ref="AF76:AV76"/>
    <mergeCell ref="AW76:BM76"/>
    <mergeCell ref="BN76:CD76"/>
    <mergeCell ref="O77:AE77"/>
    <mergeCell ref="AF77:AV77"/>
    <mergeCell ref="AW77:BM77"/>
    <mergeCell ref="BN77:CD77"/>
    <mergeCell ref="R80:AM80"/>
    <mergeCell ref="AN80:BI80"/>
    <mergeCell ref="BJ80:CE80"/>
    <mergeCell ref="CD15:CZ15"/>
    <mergeCell ref="CD16:CZ16"/>
    <mergeCell ref="CD17:CZ17"/>
    <mergeCell ref="CD18:CZ18"/>
    <mergeCell ref="AF74:AV74"/>
    <mergeCell ref="AW74:BM74"/>
    <mergeCell ref="BN74:CD74"/>
    <mergeCell ref="M50:AI50"/>
    <mergeCell ref="AJ50:BF50"/>
    <mergeCell ref="BG50:CC50"/>
    <mergeCell ref="CD50:CZ50"/>
    <mergeCell ref="M18:AI18"/>
    <mergeCell ref="M13:AI13"/>
    <mergeCell ref="M14:AI14"/>
    <mergeCell ref="M15:AI15"/>
    <mergeCell ref="M16:AI16"/>
    <mergeCell ref="M17:AI17"/>
    <mergeCell ref="AJ13:BF13"/>
    <mergeCell ref="BG13:CC13"/>
    <mergeCell ref="AJ14:BF14"/>
    <mergeCell ref="BG14:CC14"/>
    <mergeCell ref="AJ15:BF15"/>
    <mergeCell ref="BG15:CC15"/>
    <mergeCell ref="AJ16:BF16"/>
    <mergeCell ref="BG16:CC16"/>
    <mergeCell ref="AJ17:BF17"/>
    <mergeCell ref="BG17:CC17"/>
    <mergeCell ref="AJ18:BF18"/>
    <mergeCell ref="BG18:CC18"/>
    <mergeCell ref="CD13:CZ13"/>
    <mergeCell ref="CD14:CZ14"/>
    <mergeCell ref="M47:AI47"/>
    <mergeCell ref="AJ47:BF47"/>
    <mergeCell ref="BG47:CC47"/>
    <mergeCell ref="CD47:CZ47"/>
    <mergeCell ref="M48:AI48"/>
    <mergeCell ref="AJ48:BF48"/>
    <mergeCell ref="BG48:CC48"/>
    <mergeCell ref="CD48:CZ48"/>
    <mergeCell ref="M49:AI49"/>
    <mergeCell ref="AJ49:BF49"/>
    <mergeCell ref="BG49:CC49"/>
    <mergeCell ref="CD49:CZ49"/>
    <mergeCell ref="M44:AI44"/>
    <mergeCell ref="AJ44:BF44"/>
    <mergeCell ref="BG44:CC44"/>
    <mergeCell ref="CD44:CZ44"/>
    <mergeCell ref="M45:AI45"/>
    <mergeCell ref="AJ45:BF45"/>
    <mergeCell ref="BG45:CC45"/>
    <mergeCell ref="CD45:CZ45"/>
    <mergeCell ref="M46:AI46"/>
    <mergeCell ref="AJ46:BF46"/>
    <mergeCell ref="BG46:CC46"/>
    <mergeCell ref="CD46:CZ46"/>
    <mergeCell ref="M41:AI41"/>
    <mergeCell ref="AJ41:BF41"/>
    <mergeCell ref="BG41:CC41"/>
    <mergeCell ref="CD41:CZ41"/>
    <mergeCell ref="M42:AI42"/>
    <mergeCell ref="AJ42:BF42"/>
    <mergeCell ref="BG42:CC42"/>
    <mergeCell ref="CD42:CZ42"/>
    <mergeCell ref="M43:AI43"/>
    <mergeCell ref="AJ43:BF43"/>
    <mergeCell ref="BG43:CC43"/>
    <mergeCell ref="CD43:CZ43"/>
    <mergeCell ref="M38:AI38"/>
    <mergeCell ref="AJ38:BF38"/>
    <mergeCell ref="BG38:CC38"/>
    <mergeCell ref="CD38:CZ38"/>
    <mergeCell ref="M39:AI39"/>
    <mergeCell ref="AJ39:BF39"/>
    <mergeCell ref="BG39:CC39"/>
    <mergeCell ref="CD39:CZ39"/>
    <mergeCell ref="M40:AI40"/>
    <mergeCell ref="AJ40:BF40"/>
    <mergeCell ref="BG40:CC40"/>
    <mergeCell ref="CD40:CZ40"/>
    <mergeCell ref="M35:AI35"/>
    <mergeCell ref="AJ35:BF35"/>
    <mergeCell ref="BG35:CC35"/>
    <mergeCell ref="CD35:CZ35"/>
    <mergeCell ref="M36:AI36"/>
    <mergeCell ref="AJ36:BF36"/>
    <mergeCell ref="BG36:CC36"/>
    <mergeCell ref="CD36:CZ36"/>
    <mergeCell ref="M37:AI37"/>
    <mergeCell ref="AJ37:BF37"/>
    <mergeCell ref="BG37:CC37"/>
    <mergeCell ref="CD37:CZ37"/>
    <mergeCell ref="M32:AI32"/>
    <mergeCell ref="AJ32:BF32"/>
    <mergeCell ref="BG32:CC32"/>
    <mergeCell ref="CD32:CZ32"/>
    <mergeCell ref="M33:AI33"/>
    <mergeCell ref="AJ33:BF33"/>
    <mergeCell ref="BG33:CC33"/>
    <mergeCell ref="CD33:CZ33"/>
    <mergeCell ref="M34:AI34"/>
    <mergeCell ref="AJ34:BF34"/>
    <mergeCell ref="BG34:CC34"/>
    <mergeCell ref="CD34:CZ34"/>
    <mergeCell ref="M29:AI29"/>
    <mergeCell ref="AJ29:BF29"/>
    <mergeCell ref="BG29:CC29"/>
    <mergeCell ref="CD29:CZ29"/>
    <mergeCell ref="M30:AI30"/>
    <mergeCell ref="AJ30:BF30"/>
    <mergeCell ref="BG30:CC30"/>
    <mergeCell ref="CD30:CZ30"/>
    <mergeCell ref="M31:AI31"/>
    <mergeCell ref="AJ31:BF31"/>
    <mergeCell ref="BG31:CC31"/>
    <mergeCell ref="CD31:CZ31"/>
    <mergeCell ref="M26:AI26"/>
    <mergeCell ref="AJ26:BF26"/>
    <mergeCell ref="BG26:CC26"/>
    <mergeCell ref="CD26:CZ26"/>
    <mergeCell ref="M27:AI27"/>
    <mergeCell ref="AJ27:BF27"/>
    <mergeCell ref="BG27:CC27"/>
    <mergeCell ref="CD27:CZ27"/>
    <mergeCell ref="M28:AI28"/>
    <mergeCell ref="AJ28:BF28"/>
    <mergeCell ref="BG28:CC28"/>
    <mergeCell ref="CD28:CZ28"/>
    <mergeCell ref="M23:AI23"/>
    <mergeCell ref="AJ23:BF23"/>
    <mergeCell ref="BG23:CC23"/>
    <mergeCell ref="CD23:CZ23"/>
    <mergeCell ref="M24:AI24"/>
    <mergeCell ref="AJ24:BF24"/>
    <mergeCell ref="BG24:CC24"/>
    <mergeCell ref="CD24:CZ24"/>
    <mergeCell ref="M25:AI25"/>
    <mergeCell ref="AJ25:BF25"/>
    <mergeCell ref="BG25:CC25"/>
    <mergeCell ref="CD25:CZ25"/>
    <mergeCell ref="CD20:CZ20"/>
    <mergeCell ref="M21:AI21"/>
    <mergeCell ref="AJ21:BF21"/>
    <mergeCell ref="BG21:CC21"/>
    <mergeCell ref="CD21:CZ21"/>
    <mergeCell ref="M22:AI22"/>
    <mergeCell ref="AJ22:BF22"/>
    <mergeCell ref="BG22:CC22"/>
    <mergeCell ref="CD22:CZ22"/>
    <mergeCell ref="O57:CD57"/>
    <mergeCell ref="AW65:BM65"/>
    <mergeCell ref="AW66:BM66"/>
    <mergeCell ref="AW67:BM67"/>
    <mergeCell ref="AW68:BM68"/>
    <mergeCell ref="O67:AE67"/>
    <mergeCell ref="O68:AE68"/>
    <mergeCell ref="O58:AE58"/>
    <mergeCell ref="O59:AE59"/>
    <mergeCell ref="O60:AE60"/>
    <mergeCell ref="O65:AE65"/>
    <mergeCell ref="O66:AE66"/>
    <mergeCell ref="BN60:CD60"/>
    <mergeCell ref="BN61:CD61"/>
    <mergeCell ref="BN62:CD62"/>
    <mergeCell ref="BN63:CD63"/>
    <mergeCell ref="BN64:CD64"/>
    <mergeCell ref="BN65:CD65"/>
    <mergeCell ref="BN66:CD66"/>
    <mergeCell ref="BN67:CD67"/>
    <mergeCell ref="BN68:CD68"/>
    <mergeCell ref="O62:AE62"/>
    <mergeCell ref="O63:AE63"/>
    <mergeCell ref="O64:AE64"/>
    <mergeCell ref="O70:AE70"/>
    <mergeCell ref="AF58:AV58"/>
    <mergeCell ref="AW58:BM58"/>
    <mergeCell ref="BN58:CD58"/>
    <mergeCell ref="AF59:AV59"/>
    <mergeCell ref="AF60:AV60"/>
    <mergeCell ref="AF61:AV61"/>
    <mergeCell ref="AF62:AV62"/>
    <mergeCell ref="AF63:AV63"/>
    <mergeCell ref="AF64:AV64"/>
    <mergeCell ref="AF65:AV65"/>
    <mergeCell ref="AF66:AV66"/>
    <mergeCell ref="AF67:AV67"/>
    <mergeCell ref="AF68:AV68"/>
    <mergeCell ref="AF69:AV69"/>
    <mergeCell ref="AW59:BM59"/>
    <mergeCell ref="AW60:BM60"/>
    <mergeCell ref="AW61:BM61"/>
    <mergeCell ref="AW62:BM62"/>
    <mergeCell ref="AW69:BM69"/>
    <mergeCell ref="BN59:CD59"/>
    <mergeCell ref="O69:AE69"/>
    <mergeCell ref="O61:AE61"/>
    <mergeCell ref="BN69:CD69"/>
    <mergeCell ref="AW63:BM63"/>
    <mergeCell ref="AW64:BM64"/>
    <mergeCell ref="K295:K296"/>
    <mergeCell ref="E2:K2"/>
    <mergeCell ref="K274:K275"/>
    <mergeCell ref="K160:K161"/>
    <mergeCell ref="K164:K165"/>
    <mergeCell ref="K166:K167"/>
    <mergeCell ref="K78:K79"/>
    <mergeCell ref="K80:K81"/>
    <mergeCell ref="K89:K90"/>
    <mergeCell ref="K94:K95"/>
    <mergeCell ref="K96:K97"/>
    <mergeCell ref="K101:K102"/>
    <mergeCell ref="K123:K124"/>
    <mergeCell ref="K125:K126"/>
    <mergeCell ref="K132:K133"/>
    <mergeCell ref="K6:K7"/>
    <mergeCell ref="K11:K12"/>
    <mergeCell ref="F247:F248"/>
    <mergeCell ref="G247:G248"/>
    <mergeCell ref="H247:H248"/>
    <mergeCell ref="I247:I248"/>
    <mergeCell ref="J247:J248"/>
    <mergeCell ref="I153:I154"/>
    <mergeCell ref="J153:J154"/>
    <mergeCell ref="J155:J156"/>
    <mergeCell ref="G274:G275"/>
    <mergeCell ref="H274:H275"/>
    <mergeCell ref="I274:I275"/>
    <mergeCell ref="J274:J275"/>
    <mergeCell ref="J229:J230"/>
    <mergeCell ref="E153:E154"/>
    <mergeCell ref="F153:F154"/>
    <mergeCell ref="A1:K1"/>
    <mergeCell ref="K236:K237"/>
    <mergeCell ref="K240:K241"/>
    <mergeCell ref="K242:K243"/>
    <mergeCell ref="K247:K248"/>
    <mergeCell ref="K251:K252"/>
    <mergeCell ref="K253:K254"/>
    <mergeCell ref="K258:K259"/>
    <mergeCell ref="K262:K263"/>
    <mergeCell ref="K171:K172"/>
    <mergeCell ref="K175:K176"/>
    <mergeCell ref="K177:K178"/>
    <mergeCell ref="K182:K183"/>
    <mergeCell ref="K206:K207"/>
    <mergeCell ref="K208:K209"/>
    <mergeCell ref="K217:K218"/>
    <mergeCell ref="K229:K230"/>
    <mergeCell ref="K231:K232"/>
    <mergeCell ref="K136:K137"/>
    <mergeCell ref="K153:K154"/>
    <mergeCell ref="K155:K156"/>
    <mergeCell ref="K16:K17"/>
    <mergeCell ref="K23:K24"/>
    <mergeCell ref="K31:K35"/>
    <mergeCell ref="K49:K50"/>
    <mergeCell ref="K59:K60"/>
    <mergeCell ref="K61:K62"/>
    <mergeCell ref="K68:K69"/>
    <mergeCell ref="B198:D198"/>
    <mergeCell ref="A160:A161"/>
    <mergeCell ref="B160:B161"/>
    <mergeCell ref="C160:C161"/>
    <mergeCell ref="G153:G154"/>
    <mergeCell ref="H153:H154"/>
    <mergeCell ref="L293:L294"/>
    <mergeCell ref="B239:D239"/>
    <mergeCell ref="A240:A241"/>
    <mergeCell ref="B240:B241"/>
    <mergeCell ref="C240:C241"/>
    <mergeCell ref="D240:D241"/>
    <mergeCell ref="E240:E241"/>
    <mergeCell ref="F240:F241"/>
    <mergeCell ref="G240:G241"/>
    <mergeCell ref="H240:H241"/>
    <mergeCell ref="J242:J243"/>
    <mergeCell ref="A247:A248"/>
    <mergeCell ref="B247:B248"/>
    <mergeCell ref="C247:C248"/>
    <mergeCell ref="D247:D248"/>
    <mergeCell ref="E247:E248"/>
    <mergeCell ref="K276:K277"/>
    <mergeCell ref="J217:J218"/>
    <mergeCell ref="E206:E207"/>
    <mergeCell ref="F206:F207"/>
    <mergeCell ref="K288:K289"/>
    <mergeCell ref="K293:K294"/>
    <mergeCell ref="J206:J207"/>
    <mergeCell ref="J208:J209"/>
    <mergeCell ref="I175:I176"/>
    <mergeCell ref="J175:J176"/>
    <mergeCell ref="J177:J178"/>
    <mergeCell ref="I240:I241"/>
    <mergeCell ref="J240:J241"/>
    <mergeCell ref="B174:D174"/>
    <mergeCell ref="J276:J277"/>
    <mergeCell ref="B185:D185"/>
    <mergeCell ref="B190:D190"/>
    <mergeCell ref="B279:D279"/>
    <mergeCell ref="A276:A277"/>
    <mergeCell ref="B276:B277"/>
    <mergeCell ref="C276:C277"/>
    <mergeCell ref="D276:D277"/>
    <mergeCell ref="E276:E277"/>
    <mergeCell ref="F276:F277"/>
    <mergeCell ref="G276:G277"/>
    <mergeCell ref="H276:H277"/>
    <mergeCell ref="I276:I277"/>
    <mergeCell ref="J262:J263"/>
    <mergeCell ref="B266:D266"/>
    <mergeCell ref="B271:D271"/>
    <mergeCell ref="A274:A275"/>
    <mergeCell ref="B274:B275"/>
    <mergeCell ref="C274:C275"/>
    <mergeCell ref="D274:D275"/>
    <mergeCell ref="E274:E275"/>
    <mergeCell ref="F274:F275"/>
    <mergeCell ref="A242:A243"/>
    <mergeCell ref="F242:F243"/>
    <mergeCell ref="G242:G243"/>
    <mergeCell ref="H242:H243"/>
    <mergeCell ref="I242:I243"/>
    <mergeCell ref="J236:J237"/>
    <mergeCell ref="J231:J232"/>
    <mergeCell ref="B228:D228"/>
    <mergeCell ref="G206:G207"/>
    <mergeCell ref="H206:H207"/>
    <mergeCell ref="A262:A263"/>
    <mergeCell ref="B262:B263"/>
    <mergeCell ref="C262:C263"/>
    <mergeCell ref="D262:D263"/>
    <mergeCell ref="E262:E263"/>
    <mergeCell ref="F262:F263"/>
    <mergeCell ref="G262:G263"/>
    <mergeCell ref="H262:H263"/>
    <mergeCell ref="I262:I263"/>
    <mergeCell ref="B261:D261"/>
    <mergeCell ref="J253:J254"/>
    <mergeCell ref="A258:A259"/>
    <mergeCell ref="B258:B259"/>
    <mergeCell ref="C258:C259"/>
    <mergeCell ref="D258:D259"/>
    <mergeCell ref="E258:E259"/>
    <mergeCell ref="F258:F259"/>
    <mergeCell ref="G258:G259"/>
    <mergeCell ref="H258:H259"/>
    <mergeCell ref="I258:I259"/>
    <mergeCell ref="J258:J259"/>
    <mergeCell ref="A253:A254"/>
    <mergeCell ref="B253:B254"/>
    <mergeCell ref="C253:C254"/>
    <mergeCell ref="D253:D254"/>
    <mergeCell ref="E253:E254"/>
    <mergeCell ref="F253:F254"/>
    <mergeCell ref="G253:G254"/>
    <mergeCell ref="H253:H254"/>
    <mergeCell ref="I253:I254"/>
    <mergeCell ref="I251:I252"/>
    <mergeCell ref="J251:J252"/>
    <mergeCell ref="A236:A237"/>
    <mergeCell ref="B236:B237"/>
    <mergeCell ref="C236:C237"/>
    <mergeCell ref="D236:D237"/>
    <mergeCell ref="E236:E237"/>
    <mergeCell ref="F236:F237"/>
    <mergeCell ref="G236:G237"/>
    <mergeCell ref="H236:H237"/>
    <mergeCell ref="I236:I237"/>
    <mergeCell ref="B250:D250"/>
    <mergeCell ref="A251:A252"/>
    <mergeCell ref="B251:B252"/>
    <mergeCell ref="C251:C252"/>
    <mergeCell ref="D251:D252"/>
    <mergeCell ref="E251:E252"/>
    <mergeCell ref="F251:F252"/>
    <mergeCell ref="G251:G252"/>
    <mergeCell ref="H251:H252"/>
    <mergeCell ref="B242:B243"/>
    <mergeCell ref="C242:C243"/>
    <mergeCell ref="D242:D243"/>
    <mergeCell ref="E242:E243"/>
    <mergeCell ref="A231:A232"/>
    <mergeCell ref="B231:B232"/>
    <mergeCell ref="C231:C232"/>
    <mergeCell ref="D231:D232"/>
    <mergeCell ref="E231:E232"/>
    <mergeCell ref="F231:F232"/>
    <mergeCell ref="G231:G232"/>
    <mergeCell ref="H231:H232"/>
    <mergeCell ref="I231:I232"/>
    <mergeCell ref="A217:A218"/>
    <mergeCell ref="B217:B218"/>
    <mergeCell ref="C217:C218"/>
    <mergeCell ref="D217:D218"/>
    <mergeCell ref="E217:E218"/>
    <mergeCell ref="F217:F218"/>
    <mergeCell ref="G217:G218"/>
    <mergeCell ref="H217:H218"/>
    <mergeCell ref="I217:I218"/>
    <mergeCell ref="A229:A230"/>
    <mergeCell ref="B229:B230"/>
    <mergeCell ref="C229:C230"/>
    <mergeCell ref="D229:D230"/>
    <mergeCell ref="E229:E230"/>
    <mergeCell ref="F229:F230"/>
    <mergeCell ref="G229:G230"/>
    <mergeCell ref="H229:H230"/>
    <mergeCell ref="I229:I230"/>
    <mergeCell ref="A208:A209"/>
    <mergeCell ref="B208:B209"/>
    <mergeCell ref="C208:C209"/>
    <mergeCell ref="D208:D209"/>
    <mergeCell ref="E208:E209"/>
    <mergeCell ref="F208:F209"/>
    <mergeCell ref="G208:G209"/>
    <mergeCell ref="H208:H209"/>
    <mergeCell ref="I208:I209"/>
    <mergeCell ref="A177:A178"/>
    <mergeCell ref="B177:B178"/>
    <mergeCell ref="C177:C178"/>
    <mergeCell ref="D177:D178"/>
    <mergeCell ref="E177:E178"/>
    <mergeCell ref="F177:F178"/>
    <mergeCell ref="G177:G178"/>
    <mergeCell ref="H177:H178"/>
    <mergeCell ref="I177:I178"/>
    <mergeCell ref="A206:A207"/>
    <mergeCell ref="B206:B207"/>
    <mergeCell ref="C206:C207"/>
    <mergeCell ref="D206:D207"/>
    <mergeCell ref="I206:I207"/>
    <mergeCell ref="F182:F183"/>
    <mergeCell ref="A175:A176"/>
    <mergeCell ref="B175:B176"/>
    <mergeCell ref="C175:C176"/>
    <mergeCell ref="D175:D176"/>
    <mergeCell ref="E175:E176"/>
    <mergeCell ref="F175:F176"/>
    <mergeCell ref="G175:G176"/>
    <mergeCell ref="H175:H176"/>
    <mergeCell ref="J166:J167"/>
    <mergeCell ref="A171:A172"/>
    <mergeCell ref="B171:B172"/>
    <mergeCell ref="C171:C172"/>
    <mergeCell ref="D171:D172"/>
    <mergeCell ref="E171:E172"/>
    <mergeCell ref="F171:F172"/>
    <mergeCell ref="G171:G172"/>
    <mergeCell ref="H171:H172"/>
    <mergeCell ref="I171:I172"/>
    <mergeCell ref="J171:J172"/>
    <mergeCell ref="A166:A167"/>
    <mergeCell ref="B166:B167"/>
    <mergeCell ref="C166:C167"/>
    <mergeCell ref="D166:D167"/>
    <mergeCell ref="E166:E167"/>
    <mergeCell ref="I166:I167"/>
    <mergeCell ref="F166:F167"/>
    <mergeCell ref="G166:G167"/>
    <mergeCell ref="H166:H167"/>
    <mergeCell ref="B163:D163"/>
    <mergeCell ref="A164:A165"/>
    <mergeCell ref="B164:B165"/>
    <mergeCell ref="C164:C165"/>
    <mergeCell ref="D164:D165"/>
    <mergeCell ref="E164:E165"/>
    <mergeCell ref="F164:F165"/>
    <mergeCell ref="G164:G165"/>
    <mergeCell ref="H164:H165"/>
    <mergeCell ref="I164:I165"/>
    <mergeCell ref="J164:J165"/>
    <mergeCell ref="B152:D152"/>
    <mergeCell ref="A153:A154"/>
    <mergeCell ref="A155:A156"/>
    <mergeCell ref="B155:B156"/>
    <mergeCell ref="C155:C156"/>
    <mergeCell ref="D155:D156"/>
    <mergeCell ref="E155:E156"/>
    <mergeCell ref="F155:F156"/>
    <mergeCell ref="G155:G156"/>
    <mergeCell ref="H155:H156"/>
    <mergeCell ref="I155:I156"/>
    <mergeCell ref="B153:B154"/>
    <mergeCell ref="J160:J161"/>
    <mergeCell ref="D160:D161"/>
    <mergeCell ref="E160:E161"/>
    <mergeCell ref="F160:F161"/>
    <mergeCell ref="G160:G161"/>
    <mergeCell ref="H160:H161"/>
    <mergeCell ref="I160:I161"/>
    <mergeCell ref="C153:C154"/>
    <mergeCell ref="D153:D154"/>
    <mergeCell ref="A136:A137"/>
    <mergeCell ref="B136:B137"/>
    <mergeCell ref="C136:C137"/>
    <mergeCell ref="D136:D137"/>
    <mergeCell ref="E136:E137"/>
    <mergeCell ref="F136:F137"/>
    <mergeCell ref="G136:G137"/>
    <mergeCell ref="H136:H137"/>
    <mergeCell ref="I136:I137"/>
    <mergeCell ref="J136:J137"/>
    <mergeCell ref="A132:A133"/>
    <mergeCell ref="B132:B133"/>
    <mergeCell ref="C132:C133"/>
    <mergeCell ref="D132:D133"/>
    <mergeCell ref="E132:E133"/>
    <mergeCell ref="F132:F133"/>
    <mergeCell ref="G132:G133"/>
    <mergeCell ref="H132:H133"/>
    <mergeCell ref="I132:I133"/>
    <mergeCell ref="C101:C102"/>
    <mergeCell ref="D101:D102"/>
    <mergeCell ref="E101:E102"/>
    <mergeCell ref="F101:F102"/>
    <mergeCell ref="G101:G102"/>
    <mergeCell ref="H101:H102"/>
    <mergeCell ref="I101:I102"/>
    <mergeCell ref="J101:J102"/>
    <mergeCell ref="H94:H95"/>
    <mergeCell ref="B89:B90"/>
    <mergeCell ref="C89:C90"/>
    <mergeCell ref="A101:A102"/>
    <mergeCell ref="J94:J95"/>
    <mergeCell ref="A96:A97"/>
    <mergeCell ref="B96:B97"/>
    <mergeCell ref="J132:J133"/>
    <mergeCell ref="B135:D135"/>
    <mergeCell ref="I123:I124"/>
    <mergeCell ref="J123:J124"/>
    <mergeCell ref="A125:A126"/>
    <mergeCell ref="B125:B126"/>
    <mergeCell ref="C125:C126"/>
    <mergeCell ref="D125:D126"/>
    <mergeCell ref="E125:E126"/>
    <mergeCell ref="J16:J17"/>
    <mergeCell ref="B77:D77"/>
    <mergeCell ref="E94:E95"/>
    <mergeCell ref="B78:B79"/>
    <mergeCell ref="C78:C79"/>
    <mergeCell ref="D78:D79"/>
    <mergeCell ref="E78:E79"/>
    <mergeCell ref="B23:B24"/>
    <mergeCell ref="C23:C24"/>
    <mergeCell ref="D23:D24"/>
    <mergeCell ref="E23:E24"/>
    <mergeCell ref="G89:G90"/>
    <mergeCell ref="H89:H90"/>
    <mergeCell ref="J78:J79"/>
    <mergeCell ref="J59:J60"/>
    <mergeCell ref="I68:I69"/>
    <mergeCell ref="F125:F126"/>
    <mergeCell ref="G125:G126"/>
    <mergeCell ref="H125:H126"/>
    <mergeCell ref="I125:I126"/>
    <mergeCell ref="J125:J126"/>
    <mergeCell ref="B122:D122"/>
    <mergeCell ref="B123:B124"/>
    <mergeCell ref="C123:C124"/>
    <mergeCell ref="D123:D124"/>
    <mergeCell ref="E123:E124"/>
    <mergeCell ref="F123:F124"/>
    <mergeCell ref="G123:G124"/>
    <mergeCell ref="H123:H124"/>
    <mergeCell ref="H49:H50"/>
    <mergeCell ref="I49:I50"/>
    <mergeCell ref="J49:J50"/>
    <mergeCell ref="J68:J69"/>
    <mergeCell ref="C31:C35"/>
    <mergeCell ref="D31:D35"/>
    <mergeCell ref="E31:E35"/>
    <mergeCell ref="B16:B17"/>
    <mergeCell ref="C16:C17"/>
    <mergeCell ref="D16:D17"/>
    <mergeCell ref="E16:E17"/>
    <mergeCell ref="H31:H35"/>
    <mergeCell ref="I31:I35"/>
    <mergeCell ref="J31:J35"/>
    <mergeCell ref="C96:C97"/>
    <mergeCell ref="D96:D97"/>
    <mergeCell ref="A16:A19"/>
    <mergeCell ref="A20:A21"/>
    <mergeCell ref="A56:A58"/>
    <mergeCell ref="B94:B95"/>
    <mergeCell ref="C94:C95"/>
    <mergeCell ref="C59:C60"/>
    <mergeCell ref="D59:D60"/>
    <mergeCell ref="E59:E60"/>
    <mergeCell ref="B49:B50"/>
    <mergeCell ref="C49:C50"/>
    <mergeCell ref="D49:D50"/>
    <mergeCell ref="E49:E50"/>
    <mergeCell ref="A52:A55"/>
    <mergeCell ref="E96:E97"/>
    <mergeCell ref="I78:I79"/>
    <mergeCell ref="A80:A81"/>
    <mergeCell ref="B80:B81"/>
    <mergeCell ref="C80:C81"/>
    <mergeCell ref="D80:D81"/>
    <mergeCell ref="F31:F35"/>
    <mergeCell ref="B31:B35"/>
    <mergeCell ref="H68:H69"/>
    <mergeCell ref="B2:B3"/>
    <mergeCell ref="C2:C3"/>
    <mergeCell ref="D2:D3"/>
    <mergeCell ref="B6:B7"/>
    <mergeCell ref="C6:C7"/>
    <mergeCell ref="D6:D7"/>
    <mergeCell ref="E6:E7"/>
    <mergeCell ref="F6:F7"/>
    <mergeCell ref="G6:G7"/>
    <mergeCell ref="H6:H7"/>
    <mergeCell ref="I6:I7"/>
    <mergeCell ref="B61:B62"/>
    <mergeCell ref="C61:C62"/>
    <mergeCell ref="D61:D62"/>
    <mergeCell ref="E61:E62"/>
    <mergeCell ref="G68:G69"/>
    <mergeCell ref="F16:F17"/>
    <mergeCell ref="G16:G17"/>
    <mergeCell ref="H16:H17"/>
    <mergeCell ref="I16:I17"/>
    <mergeCell ref="F59:F60"/>
    <mergeCell ref="G59:G60"/>
    <mergeCell ref="H59:H60"/>
    <mergeCell ref="J6:J7"/>
    <mergeCell ref="B11:B12"/>
    <mergeCell ref="C11:C12"/>
    <mergeCell ref="D11:D12"/>
    <mergeCell ref="E11:E12"/>
    <mergeCell ref="G23:G24"/>
    <mergeCell ref="H23:H24"/>
    <mergeCell ref="I23:I24"/>
    <mergeCell ref="J23:J24"/>
    <mergeCell ref="F11:F12"/>
    <mergeCell ref="F23:F24"/>
    <mergeCell ref="G11:G12"/>
    <mergeCell ref="H11:H12"/>
    <mergeCell ref="I11:I12"/>
    <mergeCell ref="J11:J12"/>
    <mergeCell ref="A308:J308"/>
    <mergeCell ref="A309:J309"/>
    <mergeCell ref="G182:G183"/>
    <mergeCell ref="H182:H183"/>
    <mergeCell ref="I182:I183"/>
    <mergeCell ref="G31:G35"/>
    <mergeCell ref="A6:A7"/>
    <mergeCell ref="J89:J90"/>
    <mergeCell ref="D94:D95"/>
    <mergeCell ref="B140:D140"/>
    <mergeCell ref="B147:D147"/>
    <mergeCell ref="H61:H62"/>
    <mergeCell ref="B68:B69"/>
    <mergeCell ref="C68:C69"/>
    <mergeCell ref="D68:D69"/>
    <mergeCell ref="E68:E69"/>
    <mergeCell ref="F68:F69"/>
    <mergeCell ref="A303:J303"/>
    <mergeCell ref="H78:H79"/>
    <mergeCell ref="E293:E294"/>
    <mergeCell ref="F293:F294"/>
    <mergeCell ref="G293:G294"/>
    <mergeCell ref="F295:F296"/>
    <mergeCell ref="G295:G296"/>
    <mergeCell ref="A304:J304"/>
    <mergeCell ref="A311:J311"/>
    <mergeCell ref="A49:A50"/>
    <mergeCell ref="A59:A60"/>
    <mergeCell ref="A61:A62"/>
    <mergeCell ref="A68:A69"/>
    <mergeCell ref="A78:A79"/>
    <mergeCell ref="H293:H294"/>
    <mergeCell ref="I293:I294"/>
    <mergeCell ref="J293:J294"/>
    <mergeCell ref="B288:B289"/>
    <mergeCell ref="C288:C289"/>
    <mergeCell ref="D288:D289"/>
    <mergeCell ref="E288:E289"/>
    <mergeCell ref="F288:F289"/>
    <mergeCell ref="G288:G289"/>
    <mergeCell ref="H288:H289"/>
    <mergeCell ref="E80:E81"/>
    <mergeCell ref="F80:F81"/>
    <mergeCell ref="G80:G81"/>
    <mergeCell ref="H80:H81"/>
    <mergeCell ref="I80:I81"/>
    <mergeCell ref="I59:I60"/>
    <mergeCell ref="F49:F50"/>
    <mergeCell ref="G49:G50"/>
    <mergeCell ref="A310:J310"/>
    <mergeCell ref="A307:J307"/>
    <mergeCell ref="M19:AI19"/>
    <mergeCell ref="AJ19:BF19"/>
    <mergeCell ref="BG19:CC19"/>
    <mergeCell ref="CD19:CZ19"/>
    <mergeCell ref="Q12:AM12"/>
    <mergeCell ref="AJ20:BF20"/>
    <mergeCell ref="BG20:CC20"/>
    <mergeCell ref="A305:J305"/>
    <mergeCell ref="A306:J306"/>
    <mergeCell ref="B295:B296"/>
    <mergeCell ref="C295:C296"/>
    <mergeCell ref="D295:D296"/>
    <mergeCell ref="E295:E296"/>
    <mergeCell ref="J288:J289"/>
    <mergeCell ref="B182:B183"/>
    <mergeCell ref="C182:C183"/>
    <mergeCell ref="D182:D183"/>
    <mergeCell ref="E182:E183"/>
    <mergeCell ref="I61:I62"/>
    <mergeCell ref="J61:J62"/>
    <mergeCell ref="F61:F62"/>
    <mergeCell ref="G61:G62"/>
    <mergeCell ref="A295:A296"/>
    <mergeCell ref="B205:D205"/>
    <mergeCell ref="A11:A12"/>
    <mergeCell ref="A23:A24"/>
    <mergeCell ref="A31:A35"/>
    <mergeCell ref="A89:A90"/>
    <mergeCell ref="A94:A95"/>
    <mergeCell ref="B59:B60"/>
    <mergeCell ref="J80:J81"/>
    <mergeCell ref="F78:F79"/>
    <mergeCell ref="G78:G79"/>
    <mergeCell ref="H295:H296"/>
    <mergeCell ref="I295:I296"/>
    <mergeCell ref="J295:J296"/>
    <mergeCell ref="J182:J183"/>
    <mergeCell ref="A182:A183"/>
    <mergeCell ref="A288:A289"/>
    <mergeCell ref="A293:A294"/>
    <mergeCell ref="I288:I289"/>
    <mergeCell ref="A299:J299"/>
    <mergeCell ref="A300:J300"/>
    <mergeCell ref="A301:J301"/>
    <mergeCell ref="A302:J302"/>
    <mergeCell ref="B293:B294"/>
    <mergeCell ref="C293:C294"/>
    <mergeCell ref="D293:D294"/>
    <mergeCell ref="D89:D90"/>
    <mergeCell ref="E89:E90"/>
    <mergeCell ref="F89:F90"/>
    <mergeCell ref="I94:I95"/>
    <mergeCell ref="F96:F97"/>
    <mergeCell ref="G96:G97"/>
    <mergeCell ref="H96:H97"/>
    <mergeCell ref="F94:F95"/>
    <mergeCell ref="G94:G95"/>
    <mergeCell ref="I96:I97"/>
    <mergeCell ref="J96:J97"/>
    <mergeCell ref="I89:I90"/>
    <mergeCell ref="A123:A124"/>
    <mergeCell ref="B101:B102"/>
  </mergeCells>
  <phoneticPr fontId="11" type="noConversion"/>
  <pageMargins left="0.39370078740157483" right="0.19685039370078741" top="0.35433070866141736" bottom="0.39370078740157483" header="0.19685039370078741" footer="0.19685039370078741"/>
  <pageSetup paperSize="9" scale="80" fitToHeight="8" orientation="landscape" r:id="rId1"/>
  <headerFooter differentOddEven="1" scaleWithDoc="0"/>
  <rowBreaks count="8" manualBreakCount="8">
    <brk id="48" max="10" man="1"/>
    <brk id="76" max="10" man="1"/>
    <brk id="97" max="10" man="1"/>
    <brk id="112" max="10" man="1"/>
    <brk id="134" max="10" man="1"/>
    <brk id="204" max="10" man="1"/>
    <brk id="227" max="10" man="1"/>
    <brk id="270" max="10" man="1"/>
  </rowBreaks>
</worksheet>
</file>

<file path=xl/worksheets/sheet4.xml><?xml version="1.0" encoding="utf-8"?>
<worksheet xmlns="http://schemas.openxmlformats.org/spreadsheetml/2006/main" xmlns:r="http://schemas.openxmlformats.org/officeDocument/2006/relationships">
  <sheetPr>
    <tabColor rgb="FF92D050"/>
  </sheetPr>
  <dimension ref="A1:GB60"/>
  <sheetViews>
    <sheetView view="pageBreakPreview" topLeftCell="A19" zoomScale="70" zoomScaleSheetLayoutView="70" workbookViewId="0">
      <selection activeCell="H29" sqref="H29"/>
    </sheetView>
  </sheetViews>
  <sheetFormatPr defaultColWidth="0.85546875" defaultRowHeight="12.75"/>
  <cols>
    <col min="1" max="1" width="7.140625" style="52" customWidth="1"/>
    <col min="2" max="2" width="36.42578125" style="51" customWidth="1"/>
    <col min="3" max="3" width="6.42578125" style="8" customWidth="1"/>
    <col min="4" max="4" width="14" style="8" customWidth="1"/>
    <col min="5" max="5" width="13.28515625" style="8" customWidth="1"/>
    <col min="6" max="6" width="17" style="8" hidden="1" customWidth="1"/>
    <col min="7" max="7" width="15.140625" style="8" hidden="1" customWidth="1"/>
    <col min="8" max="12" width="20.7109375" style="8" customWidth="1"/>
    <col min="13" max="13" width="20.28515625" style="32" customWidth="1"/>
    <col min="14" max="36" width="0.85546875" style="32"/>
    <col min="37" max="37" width="4.85546875" style="32" bestFit="1" customWidth="1"/>
    <col min="38" max="16384" width="0.85546875" style="32"/>
  </cols>
  <sheetData>
    <row r="1" spans="1:184" ht="52.5" customHeight="1">
      <c r="B1" s="480" t="s">
        <v>115</v>
      </c>
      <c r="C1" s="480"/>
      <c r="D1" s="480"/>
      <c r="E1" s="480"/>
      <c r="F1" s="480"/>
      <c r="G1" s="480"/>
      <c r="H1" s="480"/>
      <c r="I1" s="480"/>
      <c r="J1" s="480"/>
      <c r="K1" s="480"/>
      <c r="L1" s="480"/>
    </row>
    <row r="2" spans="1:184" ht="23.25" customHeight="1">
      <c r="A2" s="481" t="s">
        <v>121</v>
      </c>
      <c r="B2" s="436" t="s">
        <v>0</v>
      </c>
      <c r="C2" s="436"/>
      <c r="D2" s="436" t="s">
        <v>1</v>
      </c>
      <c r="E2" s="439" t="s">
        <v>4</v>
      </c>
      <c r="F2" s="436" t="s">
        <v>187</v>
      </c>
      <c r="G2" s="436"/>
      <c r="H2" s="436"/>
      <c r="I2" s="436"/>
      <c r="J2" s="436"/>
      <c r="K2" s="436"/>
      <c r="L2" s="436"/>
    </row>
    <row r="3" spans="1:184" ht="66" customHeight="1">
      <c r="A3" s="481"/>
      <c r="B3" s="436"/>
      <c r="C3" s="436"/>
      <c r="D3" s="436"/>
      <c r="E3" s="439"/>
      <c r="F3" s="56" t="s">
        <v>174</v>
      </c>
      <c r="G3" s="56" t="s">
        <v>175</v>
      </c>
      <c r="H3" s="304" t="s">
        <v>277</v>
      </c>
      <c r="I3" s="304" t="s">
        <v>352</v>
      </c>
      <c r="J3" s="304" t="s">
        <v>278</v>
      </c>
      <c r="K3" s="304" t="s">
        <v>353</v>
      </c>
      <c r="L3" s="304" t="s">
        <v>354</v>
      </c>
    </row>
    <row r="4" spans="1:184" ht="15">
      <c r="A4" s="53">
        <v>1</v>
      </c>
      <c r="B4" s="439">
        <v>2</v>
      </c>
      <c r="C4" s="439"/>
      <c r="D4" s="49">
        <v>3</v>
      </c>
      <c r="E4" s="49">
        <v>4</v>
      </c>
      <c r="F4" s="49">
        <v>5</v>
      </c>
      <c r="G4" s="49">
        <v>6</v>
      </c>
      <c r="H4" s="49">
        <v>7</v>
      </c>
      <c r="I4" s="49">
        <v>8</v>
      </c>
      <c r="J4" s="49">
        <v>9</v>
      </c>
      <c r="K4" s="258">
        <v>10</v>
      </c>
      <c r="L4" s="258">
        <v>10</v>
      </c>
      <c r="AK4" s="89"/>
    </row>
    <row r="5" spans="1:184" s="57" customFormat="1" ht="42" customHeight="1">
      <c r="A5" s="95">
        <v>1</v>
      </c>
      <c r="B5" s="433" t="s">
        <v>246</v>
      </c>
      <c r="C5" s="433"/>
      <c r="D5" s="93">
        <v>26000</v>
      </c>
      <c r="E5" s="93" t="s">
        <v>60</v>
      </c>
      <c r="F5" s="94">
        <f>F10+F9+F8+F6</f>
        <v>10911582.18</v>
      </c>
      <c r="G5" s="94">
        <f t="shared" ref="G5:I5" si="0">G10+G9+G8+G6</f>
        <v>11939550.34</v>
      </c>
      <c r="H5" s="94">
        <f>H10+H9+H8+H6</f>
        <v>13528073.480000002</v>
      </c>
      <c r="I5" s="94">
        <f t="shared" si="0"/>
        <v>13975774.5</v>
      </c>
      <c r="J5" s="94">
        <f>J10+J9+J8+J6</f>
        <v>14123009</v>
      </c>
      <c r="K5" s="260">
        <f>K10+K9+K8+K6</f>
        <v>10890931.359999999</v>
      </c>
      <c r="L5" s="260">
        <f t="shared" ref="L5" si="1">L10+L9+L8+L6</f>
        <v>10890931.359999999</v>
      </c>
      <c r="W5" s="467">
        <f>H5-H26</f>
        <v>0</v>
      </c>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f>I5-I26</f>
        <v>354472.04999999888</v>
      </c>
      <c r="AY5" s="467"/>
      <c r="AZ5" s="467"/>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f t="shared" ref="BY5" si="2">BJ5-BJ26</f>
        <v>0</v>
      </c>
      <c r="BZ5" s="467"/>
      <c r="CA5" s="467"/>
      <c r="CB5" s="467"/>
      <c r="CC5" s="467"/>
      <c r="CD5" s="467"/>
      <c r="CE5" s="467"/>
      <c r="CF5" s="467"/>
      <c r="CG5" s="467"/>
      <c r="CH5" s="467"/>
      <c r="CI5" s="467"/>
      <c r="CJ5" s="467"/>
      <c r="CK5" s="467"/>
      <c r="CL5" s="467"/>
      <c r="CM5" s="467"/>
      <c r="CN5" s="467"/>
      <c r="CO5" s="467"/>
      <c r="CP5" s="467"/>
      <c r="CQ5" s="467"/>
      <c r="CR5" s="467"/>
      <c r="CS5" s="467"/>
      <c r="CT5" s="467"/>
      <c r="CU5" s="467"/>
      <c r="CV5" s="467"/>
      <c r="CW5" s="467"/>
      <c r="CX5" s="467"/>
      <c r="CY5" s="467"/>
      <c r="CZ5" s="467">
        <f t="shared" ref="CZ5" si="3">CK5-CK26</f>
        <v>0</v>
      </c>
      <c r="DA5" s="467"/>
      <c r="DB5" s="467"/>
      <c r="DC5" s="467"/>
      <c r="DD5" s="467"/>
      <c r="DE5" s="467"/>
      <c r="DF5" s="467"/>
      <c r="DG5" s="467"/>
      <c r="DH5" s="467"/>
      <c r="DI5" s="467"/>
      <c r="DJ5" s="467"/>
      <c r="DK5" s="467"/>
      <c r="DL5" s="467"/>
      <c r="DM5" s="467"/>
      <c r="DN5" s="467"/>
      <c r="DO5" s="467"/>
      <c r="DP5" s="467"/>
      <c r="DQ5" s="467"/>
      <c r="DR5" s="467"/>
      <c r="DS5" s="467"/>
      <c r="DT5" s="467"/>
      <c r="DU5" s="467"/>
      <c r="DV5" s="467"/>
      <c r="DW5" s="467"/>
      <c r="DX5" s="467"/>
      <c r="DY5" s="467"/>
      <c r="DZ5" s="467"/>
      <c r="EA5" s="467">
        <f t="shared" ref="EA5" si="4">DL5-DL26</f>
        <v>0</v>
      </c>
      <c r="EB5" s="467"/>
      <c r="EC5" s="467"/>
      <c r="ED5" s="467"/>
      <c r="EE5" s="467"/>
      <c r="EF5" s="467"/>
      <c r="EG5" s="467"/>
      <c r="EH5" s="467"/>
      <c r="EI5" s="467"/>
      <c r="EJ5" s="467"/>
      <c r="EK5" s="467"/>
      <c r="EL5" s="467"/>
      <c r="EM5" s="467"/>
      <c r="EN5" s="467"/>
      <c r="EO5" s="467"/>
      <c r="EP5" s="467"/>
      <c r="EQ5" s="467"/>
      <c r="ER5" s="467"/>
      <c r="ES5" s="467"/>
      <c r="ET5" s="467"/>
      <c r="EU5" s="467"/>
      <c r="EV5" s="467"/>
      <c r="EW5" s="467"/>
      <c r="EX5" s="467"/>
      <c r="EY5" s="467"/>
      <c r="EZ5" s="467"/>
      <c r="FA5" s="467"/>
      <c r="FB5" s="467">
        <f t="shared" ref="FB5" si="5">EM5-EM26</f>
        <v>0</v>
      </c>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row>
    <row r="6" spans="1:184" ht="30" customHeight="1">
      <c r="A6" s="477" t="s">
        <v>122</v>
      </c>
      <c r="B6" s="430" t="s">
        <v>244</v>
      </c>
      <c r="C6" s="430"/>
      <c r="D6" s="436">
        <v>26100</v>
      </c>
      <c r="E6" s="436"/>
      <c r="F6" s="435"/>
      <c r="G6" s="435"/>
      <c r="H6" s="435"/>
      <c r="I6" s="435"/>
      <c r="J6" s="435"/>
      <c r="K6" s="435"/>
      <c r="L6" s="435"/>
    </row>
    <row r="7" spans="1:184" ht="195" customHeight="1">
      <c r="A7" s="477"/>
      <c r="B7" s="430"/>
      <c r="C7" s="430"/>
      <c r="D7" s="436"/>
      <c r="E7" s="436"/>
      <c r="F7" s="435"/>
      <c r="G7" s="435"/>
      <c r="H7" s="435"/>
      <c r="I7" s="435"/>
      <c r="J7" s="435"/>
      <c r="K7" s="435"/>
      <c r="L7" s="435"/>
    </row>
    <row r="8" spans="1:184" ht="87" customHeight="1">
      <c r="A8" s="53" t="s">
        <v>123</v>
      </c>
      <c r="B8" s="430" t="s">
        <v>243</v>
      </c>
      <c r="C8" s="430"/>
      <c r="D8" s="48">
        <v>26200</v>
      </c>
      <c r="E8" s="48"/>
      <c r="F8" s="63"/>
      <c r="G8" s="63"/>
      <c r="H8" s="63"/>
      <c r="I8" s="63"/>
      <c r="J8" s="63"/>
      <c r="K8" s="256"/>
      <c r="L8" s="256"/>
      <c r="M8" s="89"/>
    </row>
    <row r="9" spans="1:184" ht="87.75" customHeight="1">
      <c r="A9" s="61" t="s">
        <v>124</v>
      </c>
      <c r="B9" s="434" t="s">
        <v>245</v>
      </c>
      <c r="C9" s="434"/>
      <c r="D9" s="62">
        <v>26300</v>
      </c>
      <c r="E9" s="62"/>
      <c r="F9" s="65">
        <v>0</v>
      </c>
      <c r="G9" s="65">
        <v>0</v>
      </c>
      <c r="H9" s="65">
        <f>H28</f>
        <v>1999987.14</v>
      </c>
      <c r="I9" s="65">
        <v>0</v>
      </c>
      <c r="J9" s="65">
        <v>0</v>
      </c>
      <c r="K9" s="257">
        <v>0</v>
      </c>
      <c r="L9" s="257">
        <v>0</v>
      </c>
    </row>
    <row r="10" spans="1:184" ht="96.75" customHeight="1">
      <c r="A10" s="96" t="s">
        <v>125</v>
      </c>
      <c r="B10" s="433" t="s">
        <v>250</v>
      </c>
      <c r="C10" s="433"/>
      <c r="D10" s="91">
        <v>26400</v>
      </c>
      <c r="E10" s="91" t="s">
        <v>3</v>
      </c>
      <c r="F10" s="92">
        <f>F11+F15+F18+F19+F22</f>
        <v>10911582.18</v>
      </c>
      <c r="G10" s="94">
        <f t="shared" ref="G10:K10" si="6">G11+G15+G18+G19+G22</f>
        <v>11939550.34</v>
      </c>
      <c r="H10" s="94">
        <f>H11+H15+H18+H19+H22</f>
        <v>11528086.340000002</v>
      </c>
      <c r="I10" s="94">
        <f t="shared" si="6"/>
        <v>13975774.5</v>
      </c>
      <c r="J10" s="94">
        <f>J11+J15+J18+J19+J22</f>
        <v>14123009</v>
      </c>
      <c r="K10" s="260">
        <f t="shared" si="6"/>
        <v>10890931.359999999</v>
      </c>
      <c r="L10" s="260">
        <f t="shared" ref="L10" si="7">L11+L15+L18+L19+L22</f>
        <v>10890931.359999999</v>
      </c>
    </row>
    <row r="11" spans="1:184" s="60" customFormat="1" ht="30" customHeight="1">
      <c r="A11" s="483" t="s">
        <v>126</v>
      </c>
      <c r="B11" s="433" t="s">
        <v>169</v>
      </c>
      <c r="C11" s="433"/>
      <c r="D11" s="447">
        <v>26410</v>
      </c>
      <c r="E11" s="447" t="s">
        <v>3</v>
      </c>
      <c r="F11" s="448">
        <f>F13</f>
        <v>6823684.0899999999</v>
      </c>
      <c r="G11" s="448">
        <f t="shared" ref="G11:J11" si="8">G13</f>
        <v>7951895.25</v>
      </c>
      <c r="H11" s="448">
        <f t="shared" si="8"/>
        <v>5330167.0500000007</v>
      </c>
      <c r="I11" s="448">
        <f t="shared" si="8"/>
        <v>5823779.2200000007</v>
      </c>
      <c r="J11" s="448">
        <f t="shared" si="8"/>
        <v>5971013.7200000007</v>
      </c>
      <c r="K11" s="448">
        <f t="shared" ref="K11:L11" si="9">K13</f>
        <v>2738936.0799999996</v>
      </c>
      <c r="L11" s="448">
        <f t="shared" si="9"/>
        <v>2738936.0799999996</v>
      </c>
    </row>
    <row r="12" spans="1:184" s="60" customFormat="1" ht="41.25" customHeight="1">
      <c r="A12" s="484"/>
      <c r="B12" s="433"/>
      <c r="C12" s="433"/>
      <c r="D12" s="447"/>
      <c r="E12" s="447"/>
      <c r="F12" s="448"/>
      <c r="G12" s="448"/>
      <c r="H12" s="448"/>
      <c r="I12" s="448"/>
      <c r="J12" s="448"/>
      <c r="K12" s="448"/>
      <c r="L12" s="448"/>
    </row>
    <row r="13" spans="1:184" ht="39.75" customHeight="1">
      <c r="A13" s="61" t="s">
        <v>127</v>
      </c>
      <c r="B13" s="434" t="s">
        <v>170</v>
      </c>
      <c r="C13" s="434"/>
      <c r="D13" s="62">
        <v>26411</v>
      </c>
      <c r="E13" s="62" t="s">
        <v>3</v>
      </c>
      <c r="F13" s="65">
        <f>'Стр.2-8'!E112+'Стр.2-8'!E113+'Стр.2-8'!E114+'Стр.2-8'!E115+'Стр.2-8'!E116+'Стр.2-8'!E117+'Стр.2-8'!E118+'Стр.2-8'!E119+'Стр.2-8'!E120+'Стр.2-8'!E121+'Стр.2-8'!E144+'Стр.2-8'!E224+'Стр.2-8'!E225+'Стр.2-8'!E227</f>
        <v>6823684.0899999999</v>
      </c>
      <c r="G13" s="75">
        <f>'Стр.2-8'!F112+'Стр.2-8'!F113+'Стр.2-8'!F114+'Стр.2-8'!F115+'Стр.2-8'!F116+'Стр.2-8'!F117+'Стр.2-8'!F118+'Стр.2-8'!F119+'Стр.2-8'!F120+'Стр.2-8'!F121+'Стр.2-8'!F144+'Стр.2-8'!F224+'Стр.2-8'!F225+'Стр.2-8'!F227</f>
        <v>7951895.25</v>
      </c>
      <c r="H13" s="75">
        <f>'Стр.2-8'!G112+'Стр.2-8'!G113+'Стр.2-8'!G114+'Стр.2-8'!G115+'Стр.2-8'!G116+'Стр.2-8'!G117+'Стр.2-8'!G118+'Стр.2-8'!G119+'Стр.2-8'!G120+'Стр.2-8'!G121+'Стр.2-8'!G223+'Стр.2-8'!G224+'Стр.2-8'!G225+'Стр.2-8'!G227+'Стр.2-8'!G151+'Стр.2-8'!G226</f>
        <v>5330167.0500000007</v>
      </c>
      <c r="I13" s="213">
        <f>'Стр.2-8'!H112+'Стр.2-8'!H113+'Стр.2-8'!H114+'Стр.2-8'!H115+'Стр.2-8'!H116+'Стр.2-8'!H117+'Стр.2-8'!H118+'Стр.2-8'!H119+'Стр.2-8'!H120+'Стр.2-8'!H121+'Стр.2-8'!H223+'Стр.2-8'!H224+'Стр.2-8'!H225+'Стр.2-8'!H227</f>
        <v>5823779.2200000007</v>
      </c>
      <c r="J13" s="213">
        <f>'Стр.2-8'!I112+'Стр.2-8'!I113+'Стр.2-8'!I114+'Стр.2-8'!I115+'Стр.2-8'!I116+'Стр.2-8'!I117+'Стр.2-8'!I118+'Стр.2-8'!I119+'Стр.2-8'!I120+'Стр.2-8'!I121+'Стр.2-8'!I223+'Стр.2-8'!I224+'Стр.2-8'!I225+'Стр.2-8'!I227</f>
        <v>5971013.7200000007</v>
      </c>
      <c r="K13" s="257">
        <f>'Стр.2-8'!J112+'Стр.2-8'!J113+'Стр.2-8'!J114+'Стр.2-8'!J115+'Стр.2-8'!J116+'Стр.2-8'!J117+'Стр.2-8'!J118+'Стр.2-8'!J119+'Стр.2-8'!J120+'Стр.2-8'!J121+'Стр.2-8'!J223+'Стр.2-8'!J224+'Стр.2-8'!J225+'Стр.2-8'!J227</f>
        <v>2738936.0799999996</v>
      </c>
      <c r="L13" s="257">
        <f>'Стр.2-8'!K112+'Стр.2-8'!K113+'Стр.2-8'!K114+'Стр.2-8'!K115+'Стр.2-8'!K116+'Стр.2-8'!K117+'Стр.2-8'!K118+'Стр.2-8'!K119+'Стр.2-8'!K120+'Стр.2-8'!K121+'Стр.2-8'!K223+'Стр.2-8'!K224+'Стр.2-8'!K225+'Стр.2-8'!K227</f>
        <v>2738936.0799999996</v>
      </c>
      <c r="M13" s="89"/>
      <c r="W13" s="47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row>
    <row r="14" spans="1:184" s="35" customFormat="1" ht="35.25" customHeight="1">
      <c r="A14" s="53" t="s">
        <v>128</v>
      </c>
      <c r="B14" s="430" t="s">
        <v>247</v>
      </c>
      <c r="C14" s="430"/>
      <c r="D14" s="48">
        <v>26412</v>
      </c>
      <c r="E14" s="48" t="s">
        <v>3</v>
      </c>
      <c r="F14" s="63"/>
      <c r="G14" s="63"/>
      <c r="H14" s="63"/>
      <c r="I14" s="63"/>
      <c r="J14" s="63"/>
      <c r="K14" s="256"/>
      <c r="L14" s="256"/>
    </row>
    <row r="15" spans="1:184" s="35" customFormat="1" ht="66" customHeight="1">
      <c r="A15" s="90" t="s">
        <v>129</v>
      </c>
      <c r="B15" s="433" t="s">
        <v>116</v>
      </c>
      <c r="C15" s="433"/>
      <c r="D15" s="91">
        <v>26420</v>
      </c>
      <c r="E15" s="91" t="s">
        <v>3</v>
      </c>
      <c r="F15" s="92">
        <f>F16</f>
        <v>363141</v>
      </c>
      <c r="G15" s="94">
        <f t="shared" ref="G15:L15" si="10">G16</f>
        <v>262898</v>
      </c>
      <c r="H15" s="94">
        <f t="shared" si="10"/>
        <v>4513361.1500000004</v>
      </c>
      <c r="I15" s="94">
        <f t="shared" si="10"/>
        <v>4467450</v>
      </c>
      <c r="J15" s="94">
        <f t="shared" si="10"/>
        <v>4467450</v>
      </c>
      <c r="K15" s="260">
        <f t="shared" si="10"/>
        <v>4467450</v>
      </c>
      <c r="L15" s="260">
        <f t="shared" si="10"/>
        <v>4467450</v>
      </c>
    </row>
    <row r="16" spans="1:184" ht="57.75" customHeight="1">
      <c r="A16" s="61" t="s">
        <v>130</v>
      </c>
      <c r="B16" s="434" t="s">
        <v>131</v>
      </c>
      <c r="C16" s="434"/>
      <c r="D16" s="62">
        <v>26421</v>
      </c>
      <c r="E16" s="62" t="s">
        <v>3</v>
      </c>
      <c r="F16" s="65">
        <f>'Стр.2-8'!E270+'Стр.2-8'!E189+'Стр.2-8'!E194+'Стр.2-8'!E195+'Стр.2-8'!E196+'Стр.2-8'!E197</f>
        <v>363141</v>
      </c>
      <c r="G16" s="75">
        <f>'Стр.2-8'!F186+'Стр.2-8'!F191+'Стр.2-8'!F267+'Стр.2-8'!F198</f>
        <v>262898</v>
      </c>
      <c r="H16" s="75">
        <f>'Стр.2-8'!G144+'Стр.2-8'!G146+'Стр.2-8'!G189+'Стр.2-8'!G270</f>
        <v>4513361.1500000004</v>
      </c>
      <c r="I16" s="213">
        <f>'Стр.2-8'!H144+'Стр.2-8'!H146+'Стр.2-8'!H189+'Стр.2-8'!H270</f>
        <v>4467450</v>
      </c>
      <c r="J16" s="213">
        <f>'Стр.2-8'!I144+'Стр.2-8'!I146+'Стр.2-8'!I189+'Стр.2-8'!I270</f>
        <v>4467450</v>
      </c>
      <c r="K16" s="257">
        <f>'Стр.2-8'!J144+'Стр.2-8'!J146+'Стр.2-8'!J189+'Стр.2-8'!J270</f>
        <v>4467450</v>
      </c>
      <c r="L16" s="257">
        <f>'Стр.2-8'!K144+'Стр.2-8'!K146+'Стр.2-8'!K189+'Стр.2-8'!K270</f>
        <v>4467450</v>
      </c>
    </row>
    <row r="17" spans="1:13" s="35" customFormat="1" ht="33.75" customHeight="1">
      <c r="A17" s="53" t="s">
        <v>132</v>
      </c>
      <c r="B17" s="430" t="s">
        <v>248</v>
      </c>
      <c r="C17" s="430"/>
      <c r="D17" s="48">
        <v>26422</v>
      </c>
      <c r="E17" s="48" t="s">
        <v>3</v>
      </c>
      <c r="F17" s="63"/>
      <c r="G17" s="63"/>
      <c r="H17" s="63"/>
      <c r="I17" s="63"/>
      <c r="J17" s="63"/>
      <c r="K17" s="256"/>
      <c r="L17" s="256"/>
    </row>
    <row r="18" spans="1:13" s="35" customFormat="1" ht="54" customHeight="1">
      <c r="A18" s="90" t="s">
        <v>134</v>
      </c>
      <c r="B18" s="433" t="s">
        <v>249</v>
      </c>
      <c r="C18" s="433"/>
      <c r="D18" s="91">
        <v>26430</v>
      </c>
      <c r="E18" s="91" t="s">
        <v>3</v>
      </c>
      <c r="F18" s="92"/>
      <c r="G18" s="92"/>
      <c r="H18" s="92"/>
      <c r="I18" s="92"/>
      <c r="J18" s="92"/>
      <c r="K18" s="260"/>
      <c r="L18" s="260"/>
    </row>
    <row r="19" spans="1:13" s="35" customFormat="1" ht="34.5" customHeight="1">
      <c r="A19" s="53" t="s">
        <v>135</v>
      </c>
      <c r="B19" s="430" t="s">
        <v>117</v>
      </c>
      <c r="C19" s="430"/>
      <c r="D19" s="48">
        <v>26440</v>
      </c>
      <c r="E19" s="48" t="s">
        <v>3</v>
      </c>
      <c r="F19" s="63"/>
      <c r="G19" s="63"/>
      <c r="H19" s="63"/>
      <c r="I19" s="63"/>
      <c r="J19" s="63"/>
      <c r="K19" s="256"/>
      <c r="L19" s="256"/>
    </row>
    <row r="20" spans="1:13" s="35" customFormat="1" ht="60.75" customHeight="1">
      <c r="A20" s="53" t="s">
        <v>137</v>
      </c>
      <c r="B20" s="479" t="s">
        <v>136</v>
      </c>
      <c r="C20" s="479"/>
      <c r="D20" s="48">
        <v>26441</v>
      </c>
      <c r="E20" s="48" t="s">
        <v>3</v>
      </c>
      <c r="F20" s="63"/>
      <c r="G20" s="63"/>
      <c r="H20" s="63"/>
      <c r="I20" s="63"/>
      <c r="J20" s="63"/>
      <c r="K20" s="256"/>
      <c r="L20" s="256"/>
    </row>
    <row r="21" spans="1:13" s="35" customFormat="1" ht="44.25" customHeight="1">
      <c r="A21" s="53" t="s">
        <v>138</v>
      </c>
      <c r="B21" s="430" t="s">
        <v>141</v>
      </c>
      <c r="C21" s="430"/>
      <c r="D21" s="48">
        <v>26442</v>
      </c>
      <c r="E21" s="48" t="s">
        <v>3</v>
      </c>
      <c r="F21" s="63"/>
      <c r="G21" s="63"/>
      <c r="H21" s="63"/>
      <c r="I21" s="63"/>
      <c r="J21" s="63"/>
      <c r="K21" s="256"/>
      <c r="L21" s="256"/>
    </row>
    <row r="22" spans="1:13" ht="49.5" customHeight="1">
      <c r="A22" s="90" t="s">
        <v>133</v>
      </c>
      <c r="B22" s="433" t="s">
        <v>118</v>
      </c>
      <c r="C22" s="433"/>
      <c r="D22" s="91">
        <v>26450</v>
      </c>
      <c r="E22" s="91" t="s">
        <v>3</v>
      </c>
      <c r="F22" s="92">
        <f>F23</f>
        <v>3724757.09</v>
      </c>
      <c r="G22" s="94">
        <f t="shared" ref="G22:L22" si="11">G23</f>
        <v>3724757.09</v>
      </c>
      <c r="H22" s="94">
        <f t="shared" si="11"/>
        <v>1684558.1400000004</v>
      </c>
      <c r="I22" s="94">
        <f t="shared" si="11"/>
        <v>3684545.2800000003</v>
      </c>
      <c r="J22" s="94">
        <f t="shared" si="11"/>
        <v>3684545.2800000003</v>
      </c>
      <c r="K22" s="260">
        <f t="shared" si="11"/>
        <v>3684545.2800000003</v>
      </c>
      <c r="L22" s="260">
        <f t="shared" si="11"/>
        <v>3684545.2800000003</v>
      </c>
    </row>
    <row r="23" spans="1:13" s="35" customFormat="1" ht="58.5" customHeight="1">
      <c r="A23" s="61" t="s">
        <v>139</v>
      </c>
      <c r="B23" s="434" t="s">
        <v>136</v>
      </c>
      <c r="C23" s="434"/>
      <c r="D23" s="62">
        <v>26451</v>
      </c>
      <c r="E23" s="62" t="s">
        <v>3</v>
      </c>
      <c r="F23" s="65">
        <f>'Стр.2-8'!E285+'Стр.2-8'!E286</f>
        <v>3724757.09</v>
      </c>
      <c r="G23" s="75">
        <f>'Стр.2-8'!F280</f>
        <v>3724757.09</v>
      </c>
      <c r="H23" s="75">
        <f>'Стр.2-8'!G286+'Стр.2-8'!G285+'Стр.2-8'!G283+'Стр.2-8'!G284-H9</f>
        <v>1684558.1400000004</v>
      </c>
      <c r="I23" s="213">
        <f>'Стр.2-8'!H286+'Стр.2-8'!H285</f>
        <v>3684545.2800000003</v>
      </c>
      <c r="J23" s="213">
        <f>'Стр.2-8'!I286+'Стр.2-8'!I285</f>
        <v>3684545.2800000003</v>
      </c>
      <c r="K23" s="257">
        <f>'Стр.2-8'!J286+'Стр.2-8'!J285</f>
        <v>3684545.2800000003</v>
      </c>
      <c r="L23" s="257">
        <f>'Стр.2-8'!K286+'Стр.2-8'!K285</f>
        <v>3684545.2800000003</v>
      </c>
    </row>
    <row r="24" spans="1:13" s="35" customFormat="1" ht="33.75" customHeight="1">
      <c r="A24" s="61" t="s">
        <v>140</v>
      </c>
      <c r="B24" s="434" t="s">
        <v>141</v>
      </c>
      <c r="C24" s="434"/>
      <c r="D24" s="62">
        <v>26452</v>
      </c>
      <c r="E24" s="62" t="s">
        <v>3</v>
      </c>
      <c r="F24" s="65"/>
      <c r="G24" s="65"/>
      <c r="H24" s="65"/>
      <c r="I24" s="65"/>
      <c r="J24" s="65"/>
      <c r="K24" s="257"/>
      <c r="L24" s="257"/>
    </row>
    <row r="25" spans="1:13" ht="84" customHeight="1">
      <c r="A25" s="95" t="s">
        <v>142</v>
      </c>
      <c r="B25" s="433" t="s">
        <v>242</v>
      </c>
      <c r="C25" s="433"/>
      <c r="D25" s="93">
        <v>26500</v>
      </c>
      <c r="E25" s="93" t="s">
        <v>3</v>
      </c>
      <c r="F25" s="94">
        <f>F26</f>
        <v>11197199.219999999</v>
      </c>
      <c r="G25" s="94">
        <f t="shared" ref="G25:L25" si="12">G26</f>
        <v>12939550.34</v>
      </c>
      <c r="H25" s="94">
        <f>H26</f>
        <v>13528073.48</v>
      </c>
      <c r="I25" s="94">
        <f t="shared" si="12"/>
        <v>13621302.450000001</v>
      </c>
      <c r="J25" s="94">
        <f t="shared" si="12"/>
        <v>14123009</v>
      </c>
      <c r="K25" s="260">
        <f t="shared" si="12"/>
        <v>10890931.359999999</v>
      </c>
      <c r="L25" s="260">
        <f t="shared" si="12"/>
        <v>10890931.359999999</v>
      </c>
      <c r="M25" s="89"/>
    </row>
    <row r="26" spans="1:13" ht="26.25" customHeight="1">
      <c r="A26" s="478"/>
      <c r="B26" s="470" t="s">
        <v>119</v>
      </c>
      <c r="C26" s="471"/>
      <c r="D26" s="431">
        <v>26510</v>
      </c>
      <c r="E26" s="431"/>
      <c r="F26" s="475">
        <f>SUM(F29:F34)</f>
        <v>11197199.219999999</v>
      </c>
      <c r="G26" s="475">
        <f>SUM(G29:G34)</f>
        <v>12939550.34</v>
      </c>
      <c r="H26" s="475">
        <f>SUM(H28:H34)</f>
        <v>13528073.48</v>
      </c>
      <c r="I26" s="475">
        <f>SUM(I28:I34)</f>
        <v>13621302.450000001</v>
      </c>
      <c r="J26" s="475">
        <f>SUM(J28:J34)</f>
        <v>14123009</v>
      </c>
      <c r="K26" s="437">
        <f>SUM(K28:K34)</f>
        <v>10890931.359999999</v>
      </c>
      <c r="L26" s="437">
        <f>SUM(L28:L34)</f>
        <v>10890931.359999999</v>
      </c>
    </row>
    <row r="27" spans="1:13" ht="11.25" customHeight="1">
      <c r="A27" s="478"/>
      <c r="B27" s="472"/>
      <c r="C27" s="473"/>
      <c r="D27" s="431"/>
      <c r="E27" s="431"/>
      <c r="F27" s="476"/>
      <c r="G27" s="476"/>
      <c r="H27" s="476"/>
      <c r="I27" s="476"/>
      <c r="J27" s="476"/>
      <c r="K27" s="437"/>
      <c r="L27" s="437"/>
    </row>
    <row r="28" spans="1:13" s="251" customFormat="1" ht="38.1" customHeight="1">
      <c r="A28" s="254"/>
      <c r="B28" s="468" t="s">
        <v>210</v>
      </c>
      <c r="C28" s="469"/>
      <c r="D28" s="252"/>
      <c r="E28" s="252">
        <v>2023</v>
      </c>
      <c r="F28" s="253">
        <f>'Стр.2-8'!E108+'Стр.2-8'!E140+'Стр.2-8'!E185+'Стр.2-8'!E190+'Стр.2-8'!E219+'Стр.2-8'!E266+'Стр.2-8'!E279</f>
        <v>15380467.699999999</v>
      </c>
      <c r="G28" s="253"/>
      <c r="H28" s="253">
        <v>1999987.14</v>
      </c>
      <c r="I28" s="255"/>
      <c r="J28" s="253"/>
      <c r="K28" s="257"/>
      <c r="L28" s="257"/>
    </row>
    <row r="29" spans="1:13" s="67" customFormat="1" ht="38.1" customHeight="1">
      <c r="A29" s="61"/>
      <c r="B29" s="468" t="s">
        <v>210</v>
      </c>
      <c r="C29" s="469"/>
      <c r="D29" s="85"/>
      <c r="E29" s="85">
        <v>2024</v>
      </c>
      <c r="F29" s="133">
        <f>'Стр.2-8'!E109+'Стр.2-8'!E141+'Стр.2-8'!E186+'Стр.2-8'!E191+'Стр.2-8'!E220+'Стр.2-8'!E267+'Стр.2-8'!E280</f>
        <v>11197199.219999999</v>
      </c>
      <c r="G29" s="133"/>
      <c r="H29" s="133">
        <f>'Стр.2-8'!G112+'Стр.2-8'!G113+'Стр.2-8'!G114+'Стр.2-8'!G115+'Стр.2-8'!G116+'Стр.2-8'!G117+'Стр.2-8'!G118+'Стр.2-8'!G119+'Стр.2-8'!G120+'Стр.2-8'!G121+'Стр.2-8'!G144+'Стр.2-8'!G146+'Стр.2-8'!G189+'Стр.2-8'!G224+'Стр.2-8'!G225+'Стр.2-8'!G227+'Стр.2-8'!G270+'Стр.2-8'!G285+'Стр.2-8'!G286+'Стр.2-8'!G223+'Стр.2-8'!G283+'Стр.2-8'!G284+'Стр.2-8'!G151+'Стр.2-8'!G226-H28</f>
        <v>11528086.34</v>
      </c>
      <c r="I29" s="255"/>
      <c r="J29" s="133"/>
      <c r="K29" s="257"/>
      <c r="L29" s="257"/>
    </row>
    <row r="30" spans="1:13" s="67" customFormat="1" ht="38.1" customHeight="1">
      <c r="A30" s="61"/>
      <c r="B30" s="468" t="s">
        <v>210</v>
      </c>
      <c r="C30" s="469"/>
      <c r="D30" s="85"/>
      <c r="E30" s="217">
        <v>2025</v>
      </c>
      <c r="F30" s="133"/>
      <c r="G30" s="133">
        <f>'Стр.2-8'!F109+'Стр.2-8'!F141+'Стр.2-8'!F186+'Стр.2-8'!F191+'Стр.2-8'!F220+'Стр.2-8'!F267+'Стр.2-8'!F280+'Стр.2-8'!F198</f>
        <v>12939550.34</v>
      </c>
      <c r="H30" s="133"/>
      <c r="I30" s="298">
        <f>'[1]Стр.2-8'!H112+'[1]Стр.2-8'!H113+'[1]Стр.2-8'!H114+'[1]Стр.2-8'!H115+'[1]Стр.2-8'!H116+'[1]Стр.2-8'!H117+'[1]Стр.2-8'!H118+'[1]Стр.2-8'!H119+'[1]Стр.2-8'!H120+'[1]Стр.2-8'!H121+'[1]Стр.2-8'!H144+'[1]Стр.2-8'!H146+'[1]Стр.2-8'!H189+'[1]Стр.2-8'!H224+'[1]Стр.2-8'!H225+'[1]Стр.2-8'!H227+'[1]Стр.2-8'!H270+'[1]Стр.2-8'!H285+'[1]Стр.2-8'!H286-I29</f>
        <v>13621302.450000001</v>
      </c>
      <c r="J30" s="133"/>
      <c r="K30" s="257"/>
      <c r="L30" s="257"/>
    </row>
    <row r="31" spans="1:13" s="67" customFormat="1" ht="38.1" customHeight="1">
      <c r="A31" s="61"/>
      <c r="B31" s="468" t="s">
        <v>210</v>
      </c>
      <c r="C31" s="469"/>
      <c r="D31" s="85"/>
      <c r="E31" s="217">
        <v>2026</v>
      </c>
      <c r="F31" s="133"/>
      <c r="G31" s="133"/>
      <c r="H31" s="133"/>
      <c r="I31" s="133"/>
      <c r="J31" s="133">
        <f>'Стр.2-8'!I112+'Стр.2-8'!I113+'Стр.2-8'!I114+'Стр.2-8'!I115+'Стр.2-8'!I116+'Стр.2-8'!I117+'Стр.2-8'!I118+'Стр.2-8'!I119+'Стр.2-8'!I120+'Стр.2-8'!I121+'Стр.2-8'!I144+'Стр.2-8'!I146+'Стр.2-8'!I189+'Стр.2-8'!I224+'Стр.2-8'!I225+'Стр.2-8'!I227+'Стр.2-8'!I270+'Стр.2-8'!I285+'Стр.2-8'!I286</f>
        <v>14123009</v>
      </c>
      <c r="K31" s="257"/>
      <c r="L31" s="257"/>
    </row>
    <row r="32" spans="1:13" s="67" customFormat="1" ht="38.1" customHeight="1">
      <c r="A32" s="61"/>
      <c r="B32" s="468" t="s">
        <v>210</v>
      </c>
      <c r="C32" s="469"/>
      <c r="D32" s="85"/>
      <c r="E32" s="217">
        <v>2027</v>
      </c>
      <c r="F32" s="133"/>
      <c r="G32" s="133"/>
      <c r="H32" s="133"/>
      <c r="I32" s="133"/>
      <c r="J32" s="133"/>
      <c r="K32" s="257">
        <f>'Стр.2-8'!J112+'Стр.2-8'!J113+'Стр.2-8'!J114+'Стр.2-8'!J115+'Стр.2-8'!J116+'Стр.2-8'!J117+'Стр.2-8'!J118+'Стр.2-8'!J119+'Стр.2-8'!J120+'Стр.2-8'!J121+'Стр.2-8'!J144+'Стр.2-8'!J146+'Стр.2-8'!J151+'Стр.2-8'!J189+'Стр.2-8'!J223+'Стр.2-8'!J224+'Стр.2-8'!J225+'Стр.2-8'!J227+'Стр.2-8'!J283+'Стр.2-8'!J284+'Стр.2-8'!J285+'Стр.2-8'!J286+'Стр.2-8'!J270</f>
        <v>10890931.359999999</v>
      </c>
      <c r="L32" s="257"/>
    </row>
    <row r="33" spans="1:12" s="67" customFormat="1" ht="38.1" customHeight="1">
      <c r="A33" s="61"/>
      <c r="B33" s="468" t="s">
        <v>210</v>
      </c>
      <c r="C33" s="469"/>
      <c r="D33" s="85"/>
      <c r="E33" s="217">
        <v>2028</v>
      </c>
      <c r="F33" s="133"/>
      <c r="G33" s="133"/>
      <c r="H33" s="133"/>
      <c r="I33" s="133"/>
      <c r="J33" s="133"/>
      <c r="K33" s="257"/>
      <c r="L33" s="257">
        <f>K32</f>
        <v>10890931.359999999</v>
      </c>
    </row>
    <row r="34" spans="1:12" s="67" customFormat="1" ht="38.1" customHeight="1">
      <c r="A34" s="61"/>
      <c r="B34" s="468" t="s">
        <v>210</v>
      </c>
      <c r="C34" s="469"/>
      <c r="D34" s="85"/>
      <c r="E34" s="85"/>
      <c r="F34" s="133"/>
      <c r="G34" s="133"/>
      <c r="H34" s="133"/>
      <c r="I34" s="133"/>
      <c r="J34" s="133"/>
      <c r="K34" s="257"/>
      <c r="L34" s="257"/>
    </row>
    <row r="35" spans="1:12" s="35" customFormat="1" ht="84" customHeight="1">
      <c r="A35" s="53" t="s">
        <v>143</v>
      </c>
      <c r="B35" s="430" t="s">
        <v>120</v>
      </c>
      <c r="C35" s="430"/>
      <c r="D35" s="48">
        <v>26600</v>
      </c>
      <c r="E35" s="48" t="s">
        <v>3</v>
      </c>
      <c r="F35" s="64"/>
      <c r="G35" s="64"/>
      <c r="H35" s="64"/>
      <c r="I35" s="64"/>
      <c r="J35" s="64"/>
      <c r="K35" s="259"/>
      <c r="L35" s="259"/>
    </row>
    <row r="36" spans="1:12" s="35" customFormat="1" ht="26.25" customHeight="1">
      <c r="A36" s="477"/>
      <c r="B36" s="485" t="s">
        <v>119</v>
      </c>
      <c r="C36" s="486"/>
      <c r="D36" s="436">
        <v>26610</v>
      </c>
      <c r="E36" s="436"/>
      <c r="F36" s="489"/>
      <c r="G36" s="489"/>
      <c r="H36" s="435"/>
      <c r="I36" s="435"/>
      <c r="J36" s="435"/>
      <c r="K36" s="435"/>
      <c r="L36" s="435"/>
    </row>
    <row r="37" spans="1:12" s="35" customFormat="1" ht="25.5" customHeight="1">
      <c r="A37" s="477"/>
      <c r="B37" s="487"/>
      <c r="C37" s="488"/>
      <c r="D37" s="436"/>
      <c r="E37" s="436"/>
      <c r="F37" s="490"/>
      <c r="G37" s="490"/>
      <c r="H37" s="435"/>
      <c r="I37" s="435"/>
      <c r="J37" s="435"/>
      <c r="K37" s="435"/>
      <c r="L37" s="435"/>
    </row>
    <row r="39" spans="1:12" ht="102.75" customHeight="1">
      <c r="A39" s="482" t="s">
        <v>144</v>
      </c>
      <c r="B39" s="482"/>
      <c r="C39" s="482"/>
      <c r="D39" s="482"/>
      <c r="E39" s="482"/>
      <c r="F39" s="482"/>
      <c r="G39" s="482"/>
      <c r="H39" s="482"/>
      <c r="I39" s="482"/>
      <c r="J39" s="482"/>
      <c r="K39" s="482"/>
      <c r="L39" s="186"/>
    </row>
    <row r="40" spans="1:12" ht="33.75" customHeight="1">
      <c r="A40" s="491" t="s">
        <v>145</v>
      </c>
      <c r="B40" s="491"/>
      <c r="C40" s="491"/>
      <c r="D40" s="491"/>
      <c r="E40" s="491"/>
      <c r="F40" s="491"/>
      <c r="G40" s="491"/>
      <c r="H40" s="491"/>
      <c r="I40" s="491"/>
      <c r="J40" s="491"/>
      <c r="K40" s="491"/>
      <c r="L40" s="184"/>
    </row>
    <row r="41" spans="1:12" ht="19.5" customHeight="1">
      <c r="A41" s="491" t="s">
        <v>146</v>
      </c>
      <c r="B41" s="491"/>
      <c r="C41" s="491"/>
      <c r="D41" s="491"/>
      <c r="E41" s="491"/>
      <c r="F41" s="491"/>
      <c r="G41" s="491"/>
      <c r="H41" s="491"/>
      <c r="I41" s="491"/>
      <c r="J41" s="491"/>
      <c r="K41" s="491"/>
      <c r="L41" s="184"/>
    </row>
    <row r="42" spans="1:12" ht="18.75">
      <c r="A42" s="492" t="s">
        <v>147</v>
      </c>
      <c r="B42" s="492"/>
      <c r="C42" s="492"/>
      <c r="D42" s="492"/>
      <c r="E42" s="492"/>
      <c r="F42" s="492"/>
      <c r="G42" s="492"/>
      <c r="H42" s="492"/>
      <c r="I42" s="492"/>
      <c r="J42" s="492"/>
      <c r="K42" s="492"/>
      <c r="L42" s="185"/>
    </row>
    <row r="43" spans="1:12" ht="18.75">
      <c r="A43" s="492" t="s">
        <v>148</v>
      </c>
      <c r="B43" s="492"/>
      <c r="C43" s="492"/>
      <c r="D43" s="492"/>
      <c r="E43" s="492"/>
      <c r="F43" s="492"/>
      <c r="G43" s="492"/>
      <c r="H43" s="492"/>
      <c r="I43" s="492"/>
      <c r="J43" s="492"/>
      <c r="K43" s="492"/>
      <c r="L43" s="185"/>
    </row>
    <row r="44" spans="1:12" ht="33.75" customHeight="1">
      <c r="A44" s="491" t="s">
        <v>149</v>
      </c>
      <c r="B44" s="491"/>
      <c r="C44" s="491"/>
      <c r="D44" s="491"/>
      <c r="E44" s="491"/>
      <c r="F44" s="491"/>
      <c r="G44" s="491"/>
      <c r="H44" s="491"/>
      <c r="I44" s="491"/>
      <c r="J44" s="491"/>
      <c r="K44" s="491"/>
      <c r="L44" s="184"/>
    </row>
    <row r="45" spans="1:12">
      <c r="A45" s="354"/>
      <c r="B45" s="354"/>
      <c r="C45" s="354"/>
      <c r="D45" s="354"/>
      <c r="E45" s="354"/>
      <c r="F45" s="354"/>
      <c r="G45" s="354"/>
      <c r="H45" s="354"/>
      <c r="I45" s="354"/>
      <c r="J45" s="354"/>
      <c r="K45" s="354"/>
      <c r="L45" s="168"/>
    </row>
    <row r="46" spans="1:12">
      <c r="A46" s="354"/>
      <c r="B46" s="354"/>
      <c r="C46" s="354"/>
      <c r="D46" s="354"/>
      <c r="E46" s="354"/>
      <c r="F46" s="354"/>
      <c r="G46" s="354"/>
      <c r="H46" s="354"/>
      <c r="I46" s="354"/>
      <c r="J46" s="354"/>
      <c r="K46" s="354"/>
      <c r="L46" s="168"/>
    </row>
    <row r="47" spans="1:12">
      <c r="A47" s="354"/>
      <c r="B47" s="354"/>
      <c r="C47" s="354"/>
      <c r="D47" s="354"/>
      <c r="E47" s="354"/>
      <c r="F47" s="354"/>
      <c r="G47" s="354"/>
      <c r="H47" s="354"/>
      <c r="I47" s="354"/>
      <c r="J47" s="354"/>
      <c r="K47" s="354"/>
      <c r="L47" s="168"/>
    </row>
    <row r="48" spans="1:12">
      <c r="A48" s="354"/>
      <c r="B48" s="354"/>
      <c r="C48" s="354"/>
      <c r="D48" s="354"/>
      <c r="E48" s="354"/>
      <c r="F48" s="354"/>
      <c r="G48" s="354"/>
      <c r="H48" s="354"/>
      <c r="I48" s="354"/>
      <c r="J48" s="354"/>
      <c r="K48" s="354"/>
      <c r="L48" s="168"/>
    </row>
    <row r="49" spans="1:12">
      <c r="A49" s="354"/>
      <c r="B49" s="354"/>
      <c r="C49" s="354"/>
      <c r="D49" s="354"/>
      <c r="E49" s="354"/>
      <c r="F49" s="354"/>
      <c r="G49" s="354"/>
      <c r="H49" s="354"/>
      <c r="I49" s="354"/>
      <c r="J49" s="354"/>
      <c r="K49" s="354"/>
      <c r="L49" s="168"/>
    </row>
    <row r="50" spans="1:12">
      <c r="A50" s="354"/>
      <c r="B50" s="354"/>
      <c r="C50" s="354"/>
      <c r="D50" s="354"/>
      <c r="E50" s="354"/>
      <c r="F50" s="354"/>
      <c r="G50" s="354"/>
      <c r="H50" s="354"/>
      <c r="I50" s="354"/>
      <c r="J50" s="354"/>
      <c r="K50" s="354"/>
      <c r="L50" s="168"/>
    </row>
    <row r="51" spans="1:12">
      <c r="A51" s="354"/>
      <c r="B51" s="354"/>
      <c r="C51" s="354"/>
      <c r="D51" s="354"/>
      <c r="E51" s="354"/>
      <c r="F51" s="354"/>
      <c r="G51" s="354"/>
      <c r="H51" s="354"/>
      <c r="I51" s="354"/>
      <c r="J51" s="354"/>
      <c r="K51" s="354"/>
      <c r="L51" s="168"/>
    </row>
    <row r="52" spans="1:12">
      <c r="A52" s="354"/>
      <c r="B52" s="354"/>
      <c r="C52" s="354"/>
      <c r="D52" s="354"/>
      <c r="E52" s="354"/>
      <c r="F52" s="354"/>
      <c r="G52" s="354"/>
      <c r="H52" s="354"/>
      <c r="I52" s="354"/>
      <c r="J52" s="354"/>
      <c r="K52" s="354"/>
      <c r="L52" s="168"/>
    </row>
    <row r="53" spans="1:12">
      <c r="A53" s="354"/>
      <c r="B53" s="354"/>
      <c r="C53" s="354"/>
      <c r="D53" s="354"/>
      <c r="E53" s="354"/>
      <c r="F53" s="354"/>
      <c r="G53" s="354"/>
      <c r="H53" s="354"/>
      <c r="I53" s="354"/>
      <c r="J53" s="354"/>
      <c r="K53" s="354"/>
      <c r="L53" s="168"/>
    </row>
    <row r="54" spans="1:12">
      <c r="A54" s="354"/>
      <c r="B54" s="354"/>
      <c r="C54" s="354"/>
      <c r="D54" s="354"/>
      <c r="E54" s="354"/>
      <c r="F54" s="354"/>
      <c r="G54" s="354"/>
      <c r="H54" s="354"/>
      <c r="I54" s="354"/>
      <c r="J54" s="354"/>
      <c r="K54" s="354"/>
      <c r="L54" s="168"/>
    </row>
    <row r="55" spans="1:12">
      <c r="A55" s="354"/>
      <c r="B55" s="354"/>
      <c r="C55" s="354"/>
      <c r="D55" s="354"/>
      <c r="E55" s="354"/>
      <c r="F55" s="354"/>
      <c r="G55" s="354"/>
      <c r="H55" s="354"/>
      <c r="I55" s="354"/>
      <c r="J55" s="354"/>
      <c r="K55" s="354"/>
      <c r="L55" s="168"/>
    </row>
    <row r="56" spans="1:12">
      <c r="A56" s="354"/>
      <c r="B56" s="354"/>
      <c r="C56" s="354"/>
      <c r="D56" s="354"/>
      <c r="E56" s="354"/>
      <c r="F56" s="354"/>
      <c r="G56" s="354"/>
      <c r="H56" s="354"/>
      <c r="I56" s="354"/>
      <c r="J56" s="354"/>
      <c r="K56" s="354"/>
      <c r="L56" s="168"/>
    </row>
    <row r="57" spans="1:12">
      <c r="A57" s="354"/>
      <c r="B57" s="354"/>
      <c r="C57" s="354"/>
      <c r="D57" s="354"/>
      <c r="E57" s="354"/>
      <c r="F57" s="354"/>
      <c r="G57" s="354"/>
      <c r="H57" s="354"/>
      <c r="I57" s="354"/>
      <c r="J57" s="354"/>
      <c r="K57" s="354"/>
      <c r="L57" s="168"/>
    </row>
    <row r="58" spans="1:12">
      <c r="A58" s="354"/>
      <c r="B58" s="354"/>
      <c r="C58" s="354"/>
      <c r="D58" s="354"/>
      <c r="E58" s="354"/>
      <c r="F58" s="354"/>
      <c r="G58" s="354"/>
      <c r="H58" s="354"/>
      <c r="I58" s="354"/>
      <c r="J58" s="354"/>
      <c r="K58" s="354"/>
      <c r="L58" s="168"/>
    </row>
    <row r="59" spans="1:12">
      <c r="A59" s="354"/>
      <c r="B59" s="354"/>
      <c r="C59" s="354"/>
      <c r="D59" s="354"/>
      <c r="E59" s="354"/>
      <c r="F59" s="354"/>
      <c r="G59" s="354"/>
      <c r="H59" s="354"/>
      <c r="I59" s="354"/>
      <c r="J59" s="354"/>
      <c r="K59" s="354"/>
      <c r="L59" s="168"/>
    </row>
    <row r="60" spans="1:12">
      <c r="A60" s="354"/>
      <c r="B60" s="354"/>
      <c r="C60" s="354"/>
      <c r="D60" s="354"/>
      <c r="E60" s="354"/>
      <c r="F60" s="354"/>
      <c r="G60" s="354"/>
      <c r="H60" s="354"/>
      <c r="I60" s="354"/>
      <c r="J60" s="354"/>
      <c r="K60" s="354"/>
      <c r="L60" s="168"/>
    </row>
  </sheetData>
  <mergeCells count="105">
    <mergeCell ref="A49:K49"/>
    <mergeCell ref="A50:K50"/>
    <mergeCell ref="A51:K51"/>
    <mergeCell ref="A52:K52"/>
    <mergeCell ref="A53:K53"/>
    <mergeCell ref="A59:K59"/>
    <mergeCell ref="A60:K60"/>
    <mergeCell ref="A54:K54"/>
    <mergeCell ref="A55:K55"/>
    <mergeCell ref="A56:K56"/>
    <mergeCell ref="A57:K57"/>
    <mergeCell ref="A58:K58"/>
    <mergeCell ref="A40:K40"/>
    <mergeCell ref="A41:K41"/>
    <mergeCell ref="A42:K42"/>
    <mergeCell ref="A43:K43"/>
    <mergeCell ref="A44:K44"/>
    <mergeCell ref="A45:K45"/>
    <mergeCell ref="A46:K46"/>
    <mergeCell ref="A47:K47"/>
    <mergeCell ref="A48:K48"/>
    <mergeCell ref="A2:A3"/>
    <mergeCell ref="B8:C8"/>
    <mergeCell ref="B5:C5"/>
    <mergeCell ref="B6:C7"/>
    <mergeCell ref="A39:K39"/>
    <mergeCell ref="B9:C9"/>
    <mergeCell ref="B10:C10"/>
    <mergeCell ref="B15:C15"/>
    <mergeCell ref="B16:C16"/>
    <mergeCell ref="A6:A7"/>
    <mergeCell ref="A11:A12"/>
    <mergeCell ref="F26:F27"/>
    <mergeCell ref="G26:G27"/>
    <mergeCell ref="B24:C24"/>
    <mergeCell ref="B25:C25"/>
    <mergeCell ref="B22:C22"/>
    <mergeCell ref="B36:C37"/>
    <mergeCell ref="F36:F37"/>
    <mergeCell ref="G36:G37"/>
    <mergeCell ref="B29:C29"/>
    <mergeCell ref="B32:C32"/>
    <mergeCell ref="B33:C33"/>
    <mergeCell ref="B34:C34"/>
    <mergeCell ref="E26:E27"/>
    <mergeCell ref="B2:C3"/>
    <mergeCell ref="B4:C4"/>
    <mergeCell ref="B1:L1"/>
    <mergeCell ref="I11:I12"/>
    <mergeCell ref="J11:J12"/>
    <mergeCell ref="K11:K12"/>
    <mergeCell ref="D2:D3"/>
    <mergeCell ref="E2:E3"/>
    <mergeCell ref="G6:G7"/>
    <mergeCell ref="H6:H7"/>
    <mergeCell ref="I6:I7"/>
    <mergeCell ref="F6:F7"/>
    <mergeCell ref="D6:D7"/>
    <mergeCell ref="E6:E7"/>
    <mergeCell ref="L6:L7"/>
    <mergeCell ref="L11:L12"/>
    <mergeCell ref="F2:L2"/>
    <mergeCell ref="J6:J7"/>
    <mergeCell ref="K6:K7"/>
    <mergeCell ref="A36:A37"/>
    <mergeCell ref="A26:A27"/>
    <mergeCell ref="B35:C35"/>
    <mergeCell ref="B30:C30"/>
    <mergeCell ref="B21:C21"/>
    <mergeCell ref="G11:G12"/>
    <mergeCell ref="H11:H12"/>
    <mergeCell ref="B19:C19"/>
    <mergeCell ref="B20:C20"/>
    <mergeCell ref="B17:C17"/>
    <mergeCell ref="B18:C18"/>
    <mergeCell ref="F11:F12"/>
    <mergeCell ref="B11:C12"/>
    <mergeCell ref="D11:D12"/>
    <mergeCell ref="E11:E12"/>
    <mergeCell ref="B13:C13"/>
    <mergeCell ref="B14:C14"/>
    <mergeCell ref="B23:C23"/>
    <mergeCell ref="E36:E37"/>
    <mergeCell ref="H36:H37"/>
    <mergeCell ref="H26:H27"/>
    <mergeCell ref="B28:C28"/>
    <mergeCell ref="FB5:GB5"/>
    <mergeCell ref="W5:AW5"/>
    <mergeCell ref="AX5:BX5"/>
    <mergeCell ref="BY5:CY5"/>
    <mergeCell ref="CZ5:DZ5"/>
    <mergeCell ref="EA5:FA5"/>
    <mergeCell ref="D36:D37"/>
    <mergeCell ref="B31:C31"/>
    <mergeCell ref="D26:D27"/>
    <mergeCell ref="B26:C27"/>
    <mergeCell ref="W13:AW13"/>
    <mergeCell ref="K26:K27"/>
    <mergeCell ref="I36:I37"/>
    <mergeCell ref="J36:J37"/>
    <mergeCell ref="K36:K37"/>
    <mergeCell ref="L26:L27"/>
    <mergeCell ref="L36:L37"/>
    <mergeCell ref="I26:I27"/>
    <mergeCell ref="J26:J27"/>
  </mergeCells>
  <pageMargins left="0.39370078740157483" right="0.19685039370078741" top="0.35433070866141736" bottom="0.39370078740157483" header="0.19685039370078741" footer="0.19685039370078741"/>
  <pageSetup paperSize="9" scale="78" orientation="landscape" r:id="rId1"/>
  <headerFooter differentOddEven="1" scaleWithDoc="0" alignWithMargins="0"/>
  <rowBreaks count="1" manualBreakCount="1">
    <brk id="10" max="11"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M55"/>
  <sheetViews>
    <sheetView view="pageBreakPreview" topLeftCell="A34" zoomScale="70" zoomScaleNormal="75" zoomScaleSheetLayoutView="70" workbookViewId="0">
      <selection activeCell="E24" sqref="E24"/>
    </sheetView>
  </sheetViews>
  <sheetFormatPr defaultRowHeight="12.75"/>
  <cols>
    <col min="1" max="1" width="52.85546875" style="13" customWidth="1"/>
    <col min="2" max="2" width="16.5703125" style="13" customWidth="1"/>
    <col min="3" max="3" width="18" style="13" hidden="1" customWidth="1"/>
    <col min="4" max="4" width="17.140625" style="13" hidden="1" customWidth="1"/>
    <col min="5" max="9" width="20.7109375" style="13" customWidth="1"/>
    <col min="10" max="11" width="13.42578125" style="13" customWidth="1"/>
    <col min="12" max="12" width="21.85546875" style="13" customWidth="1"/>
    <col min="13" max="13" width="9.28515625" style="13" bestFit="1" customWidth="1"/>
    <col min="14" max="16384" width="9.140625" style="13"/>
  </cols>
  <sheetData>
    <row r="1" spans="1:13" ht="33" customHeight="1">
      <c r="A1" s="494" t="s">
        <v>150</v>
      </c>
      <c r="B1" s="494"/>
      <c r="C1" s="494"/>
      <c r="D1" s="494"/>
      <c r="E1" s="494"/>
      <c r="F1" s="494"/>
      <c r="G1" s="494"/>
      <c r="H1" s="494"/>
      <c r="I1" s="494"/>
      <c r="J1" s="41"/>
      <c r="K1" s="41"/>
    </row>
    <row r="2" spans="1:13" ht="18.75" customHeight="1">
      <c r="A2" s="495" t="s">
        <v>261</v>
      </c>
      <c r="B2" s="495"/>
      <c r="C2" s="243"/>
      <c r="D2" s="243"/>
      <c r="E2" s="496">
        <v>45317</v>
      </c>
      <c r="F2" s="496"/>
      <c r="G2" s="243"/>
      <c r="H2" s="243"/>
      <c r="I2" s="243"/>
      <c r="J2" s="36"/>
      <c r="K2" s="36"/>
    </row>
    <row r="3" spans="1:13">
      <c r="A3" s="1"/>
      <c r="B3" s="14"/>
      <c r="C3" s="14"/>
      <c r="D3" s="14"/>
      <c r="E3" s="14"/>
      <c r="F3" s="14"/>
      <c r="G3" s="14"/>
      <c r="H3" s="14"/>
      <c r="I3" s="14"/>
      <c r="J3" s="14"/>
      <c r="K3" s="14"/>
    </row>
    <row r="4" spans="1:13">
      <c r="A4" s="14"/>
      <c r="B4" s="14"/>
      <c r="C4" s="14"/>
      <c r="D4" s="14"/>
      <c r="E4" s="14"/>
      <c r="F4" s="14"/>
      <c r="G4" s="14"/>
      <c r="H4" s="14"/>
      <c r="I4" s="14"/>
      <c r="J4" s="14"/>
      <c r="K4" s="14"/>
    </row>
    <row r="5" spans="1:13" ht="15.75" customHeight="1">
      <c r="A5" s="493" t="s">
        <v>0</v>
      </c>
      <c r="B5" s="493" t="s">
        <v>41</v>
      </c>
      <c r="C5" s="83" t="s">
        <v>211</v>
      </c>
      <c r="D5" s="83" t="s">
        <v>212</v>
      </c>
      <c r="E5" s="305" t="s">
        <v>270</v>
      </c>
      <c r="F5" s="305" t="s">
        <v>271</v>
      </c>
      <c r="G5" s="305" t="s">
        <v>272</v>
      </c>
      <c r="H5" s="305" t="s">
        <v>279</v>
      </c>
      <c r="I5" s="305" t="s">
        <v>355</v>
      </c>
      <c r="J5" s="14"/>
      <c r="K5" s="14"/>
    </row>
    <row r="6" spans="1:13" ht="31.5">
      <c r="A6" s="493"/>
      <c r="B6" s="493"/>
      <c r="C6" s="42" t="s">
        <v>151</v>
      </c>
      <c r="D6" s="42" t="s">
        <v>152</v>
      </c>
      <c r="E6" s="42" t="s">
        <v>153</v>
      </c>
      <c r="F6" s="42" t="s">
        <v>154</v>
      </c>
      <c r="G6" s="42" t="s">
        <v>155</v>
      </c>
      <c r="H6" s="83" t="s">
        <v>213</v>
      </c>
      <c r="I6" s="187" t="s">
        <v>254</v>
      </c>
      <c r="J6" s="14">
        <v>211</v>
      </c>
      <c r="K6" s="14">
        <v>2023</v>
      </c>
      <c r="L6" s="13">
        <v>2024</v>
      </c>
      <c r="M6" s="13">
        <v>2025</v>
      </c>
    </row>
    <row r="7" spans="1:13">
      <c r="A7" s="43">
        <v>1</v>
      </c>
      <c r="B7" s="43">
        <v>2</v>
      </c>
      <c r="C7" s="43">
        <v>3</v>
      </c>
      <c r="D7" s="43">
        <v>4</v>
      </c>
      <c r="E7" s="43">
        <v>5</v>
      </c>
      <c r="F7" s="43">
        <v>6</v>
      </c>
      <c r="G7" s="44">
        <v>7</v>
      </c>
      <c r="H7" s="43">
        <v>8</v>
      </c>
      <c r="I7" s="43">
        <v>8</v>
      </c>
      <c r="J7" s="14"/>
      <c r="K7" s="14"/>
    </row>
    <row r="8" spans="1:13" ht="31.5">
      <c r="A8" s="45" t="s">
        <v>50</v>
      </c>
      <c r="B8" s="43" t="s">
        <v>3</v>
      </c>
      <c r="C8" s="43" t="s">
        <v>3</v>
      </c>
      <c r="D8" s="43" t="s">
        <v>3</v>
      </c>
      <c r="E8" s="43" t="s">
        <v>3</v>
      </c>
      <c r="F8" s="43" t="s">
        <v>3</v>
      </c>
      <c r="G8" s="44" t="s">
        <v>3</v>
      </c>
      <c r="H8" s="43" t="s">
        <v>3</v>
      </c>
      <c r="I8" s="43" t="s">
        <v>3</v>
      </c>
      <c r="J8" s="143"/>
      <c r="K8" s="143">
        <f>('Стр.2-8'!G83+'Стр.2-8'!G84+'Стр.2-8'!G128+'Стр.2-8'!G158+'Стр.2-8'!G211+'Стр.2-8'!G212+'Стр.2-8'!G234)/1000</f>
        <v>45491.631270000005</v>
      </c>
      <c r="L8" s="143">
        <f>('Стр.2-8'!H83+'Стр.2-8'!H84+'Стр.2-8'!H128+'Стр.2-8'!H158+'Стр.2-8'!H211+'Стр.2-8'!H212+'Стр.2-8'!H234)/1000</f>
        <v>49354.769179999996</v>
      </c>
      <c r="M8" s="143">
        <f>('Стр.2-8'!I83+'Стр.2-8'!I84+'Стр.2-8'!I128+'Стр.2-8'!I158+'Стр.2-8'!I211+'Стр.2-8'!I212+'Стр.2-8'!I234)/1000</f>
        <v>52573.119030000002</v>
      </c>
    </row>
    <row r="9" spans="1:13" ht="15.75">
      <c r="A9" s="45" t="s">
        <v>27</v>
      </c>
      <c r="B9" s="42" t="s">
        <v>23</v>
      </c>
      <c r="C9" s="134">
        <v>12492.9</v>
      </c>
      <c r="D9" s="134">
        <f>D12+D14</f>
        <v>11945.430000000002</v>
      </c>
      <c r="E9" s="134">
        <f>E12+E14</f>
        <v>15174.41</v>
      </c>
      <c r="F9" s="134">
        <f t="shared" ref="F9:H9" si="0">F12+F14</f>
        <v>15174.41</v>
      </c>
      <c r="G9" s="134">
        <f t="shared" si="0"/>
        <v>15174.41</v>
      </c>
      <c r="H9" s="134">
        <f t="shared" si="0"/>
        <v>15174.41</v>
      </c>
      <c r="I9" s="134">
        <f t="shared" ref="I9" si="1">I12+I14</f>
        <v>15174.41</v>
      </c>
      <c r="J9" s="143"/>
      <c r="K9" s="143">
        <f>E9+E16</f>
        <v>40225.53</v>
      </c>
      <c r="L9" s="143">
        <f>F9+F16</f>
        <v>40866.840000000004</v>
      </c>
      <c r="M9" s="143">
        <f t="shared" ref="M9" si="2">G9+G16</f>
        <v>43541.010000000009</v>
      </c>
    </row>
    <row r="10" spans="1:13" ht="15.75">
      <c r="A10" s="46" t="s">
        <v>36</v>
      </c>
      <c r="B10" s="42" t="s">
        <v>23</v>
      </c>
      <c r="C10" s="134">
        <v>4704.3599999999997</v>
      </c>
      <c r="D10" s="134">
        <f>D13+D15</f>
        <v>5043.7371428571432</v>
      </c>
      <c r="E10" s="134">
        <f>E13+E15</f>
        <v>6689.3028571428576</v>
      </c>
      <c r="F10" s="134">
        <f t="shared" ref="F10:H10" si="3">F13+F15</f>
        <v>6689.3028571428576</v>
      </c>
      <c r="G10" s="134">
        <f t="shared" si="3"/>
        <v>6689.3028571428576</v>
      </c>
      <c r="H10" s="134">
        <f t="shared" si="3"/>
        <v>6689.3028571428576</v>
      </c>
      <c r="I10" s="134">
        <f t="shared" ref="I10" si="4">I13+I15</f>
        <v>6689.3028571428576</v>
      </c>
      <c r="J10" s="143"/>
      <c r="K10" s="143">
        <f>K8-K9</f>
        <v>5266.1012700000065</v>
      </c>
      <c r="L10" s="143">
        <f t="shared" ref="L10" si="5">L8-L9</f>
        <v>8487.9291799999919</v>
      </c>
      <c r="M10" s="151">
        <f>M8-M9</f>
        <v>9032.1090299999923</v>
      </c>
    </row>
    <row r="11" spans="1:13" ht="15.75">
      <c r="A11" s="46" t="s">
        <v>2</v>
      </c>
      <c r="B11" s="42"/>
      <c r="C11" s="134"/>
      <c r="D11" s="134"/>
      <c r="E11" s="134"/>
      <c r="F11" s="134"/>
      <c r="G11" s="134"/>
      <c r="H11" s="134"/>
      <c r="I11" s="134"/>
      <c r="J11" s="14"/>
      <c r="K11" s="14"/>
    </row>
    <row r="12" spans="1:13" ht="31.5">
      <c r="A12" s="46" t="s">
        <v>156</v>
      </c>
      <c r="B12" s="42" t="s">
        <v>23</v>
      </c>
      <c r="C12" s="134">
        <v>1660.1</v>
      </c>
      <c r="D12" s="134">
        <v>1116.53</v>
      </c>
      <c r="E12" s="134">
        <f>1729.34+448.28</f>
        <v>2177.62</v>
      </c>
      <c r="F12" s="134">
        <f>1729.34+448.28</f>
        <v>2177.62</v>
      </c>
      <c r="G12" s="134">
        <f>1729.34+448.28</f>
        <v>2177.62</v>
      </c>
      <c r="H12" s="134">
        <f t="shared" ref="H12:I15" si="6">G12</f>
        <v>2177.62</v>
      </c>
      <c r="I12" s="134">
        <f t="shared" si="6"/>
        <v>2177.62</v>
      </c>
      <c r="J12" s="14"/>
      <c r="K12" s="14"/>
    </row>
    <row r="13" spans="1:13" ht="15.75">
      <c r="A13" s="46" t="s">
        <v>36</v>
      </c>
      <c r="B13" s="42" t="s">
        <v>23</v>
      </c>
      <c r="C13" s="134">
        <v>674.3</v>
      </c>
      <c r="D13" s="134">
        <v>402.78</v>
      </c>
      <c r="E13" s="134">
        <f>846.27+272.98</f>
        <v>1119.25</v>
      </c>
      <c r="F13" s="134">
        <f>846.27+272.98</f>
        <v>1119.25</v>
      </c>
      <c r="G13" s="134">
        <f>846.27+272.98</f>
        <v>1119.25</v>
      </c>
      <c r="H13" s="134">
        <f t="shared" si="6"/>
        <v>1119.25</v>
      </c>
      <c r="I13" s="134">
        <f t="shared" si="6"/>
        <v>1119.25</v>
      </c>
      <c r="J13" s="14"/>
      <c r="K13" s="14"/>
    </row>
    <row r="14" spans="1:13" ht="31.5">
      <c r="A14" s="46" t="s">
        <v>157</v>
      </c>
      <c r="B14" s="42" t="s">
        <v>23</v>
      </c>
      <c r="C14" s="134">
        <v>10832.8</v>
      </c>
      <c r="D14" s="134">
        <f>5141.83+5479.37-(55.56*12)+285.1-153.23+742.55</f>
        <v>10828.900000000001</v>
      </c>
      <c r="E14" s="134">
        <v>12996.79</v>
      </c>
      <c r="F14" s="134">
        <f>E14</f>
        <v>12996.79</v>
      </c>
      <c r="G14" s="134">
        <f>F14</f>
        <v>12996.79</v>
      </c>
      <c r="H14" s="134">
        <f t="shared" si="6"/>
        <v>12996.79</v>
      </c>
      <c r="I14" s="134">
        <f t="shared" si="6"/>
        <v>12996.79</v>
      </c>
      <c r="J14" s="14"/>
      <c r="K14" s="14"/>
    </row>
    <row r="15" spans="1:13" ht="15.75">
      <c r="A15" s="46" t="s">
        <v>36</v>
      </c>
      <c r="B15" s="42" t="s">
        <v>23</v>
      </c>
      <c r="C15" s="134">
        <v>6591.5</v>
      </c>
      <c r="D15" s="134">
        <f>D14*30/70</f>
        <v>4640.9571428571435</v>
      </c>
      <c r="E15" s="134">
        <f>E14*30/70</f>
        <v>5570.0528571428576</v>
      </c>
      <c r="F15" s="134">
        <f t="shared" ref="F15:G15" si="7">F14*30/70</f>
        <v>5570.0528571428576</v>
      </c>
      <c r="G15" s="134">
        <f t="shared" si="7"/>
        <v>5570.0528571428576</v>
      </c>
      <c r="H15" s="134">
        <f t="shared" si="6"/>
        <v>5570.0528571428576</v>
      </c>
      <c r="I15" s="134">
        <f t="shared" si="6"/>
        <v>5570.0528571428576</v>
      </c>
      <c r="J15" s="14"/>
      <c r="K15" s="14"/>
    </row>
    <row r="16" spans="1:13" ht="63">
      <c r="A16" s="45" t="s">
        <v>42</v>
      </c>
      <c r="B16" s="42" t="s">
        <v>23</v>
      </c>
      <c r="C16" s="134">
        <v>21353.759999999998</v>
      </c>
      <c r="D16" s="134">
        <f>17412.46+921.87</f>
        <v>18334.329999999998</v>
      </c>
      <c r="E16" s="134">
        <f>E18+1112.2</f>
        <v>25051.120000000003</v>
      </c>
      <c r="F16" s="134">
        <f>E16+641.31</f>
        <v>25692.430000000004</v>
      </c>
      <c r="G16" s="134">
        <f>F16+2674.17</f>
        <v>28366.600000000006</v>
      </c>
      <c r="H16" s="134">
        <f>G16</f>
        <v>28366.600000000006</v>
      </c>
      <c r="I16" s="134">
        <f>H16</f>
        <v>28366.600000000006</v>
      </c>
      <c r="J16" s="14"/>
      <c r="K16" s="14"/>
    </row>
    <row r="17" spans="1:11" ht="15.75">
      <c r="A17" s="46" t="s">
        <v>28</v>
      </c>
      <c r="B17" s="42"/>
      <c r="C17" s="134"/>
      <c r="D17" s="134"/>
      <c r="E17" s="134"/>
      <c r="F17" s="134"/>
      <c r="G17" s="134"/>
      <c r="H17" s="134"/>
      <c r="I17" s="134"/>
      <c r="J17" s="14"/>
      <c r="K17" s="14"/>
    </row>
    <row r="18" spans="1:11" ht="15.75">
      <c r="A18" s="46" t="s">
        <v>214</v>
      </c>
      <c r="B18" s="83" t="s">
        <v>23</v>
      </c>
      <c r="C18" s="134">
        <v>20185.36</v>
      </c>
      <c r="D18" s="134">
        <f>17412.46</f>
        <v>17412.46</v>
      </c>
      <c r="E18" s="134">
        <f>21669.99-1295.52+3564.45</f>
        <v>23938.920000000002</v>
      </c>
      <c r="F18" s="134">
        <f>E18+1600</f>
        <v>25538.920000000002</v>
      </c>
      <c r="G18" s="134">
        <f>F18+2674.17</f>
        <v>28213.090000000004</v>
      </c>
      <c r="H18" s="134">
        <f>G18</f>
        <v>28213.090000000004</v>
      </c>
      <c r="I18" s="134">
        <f>H18</f>
        <v>28213.090000000004</v>
      </c>
      <c r="J18" s="14"/>
      <c r="K18" s="14"/>
    </row>
    <row r="19" spans="1:11" ht="15.75">
      <c r="A19" s="46" t="s">
        <v>215</v>
      </c>
      <c r="B19" s="42" t="s">
        <v>23</v>
      </c>
      <c r="C19" s="134">
        <v>12529</v>
      </c>
      <c r="D19" s="134">
        <v>12065.33</v>
      </c>
      <c r="E19" s="134">
        <f>15014.95+3000</f>
        <v>18014.95</v>
      </c>
      <c r="F19" s="134">
        <f>E19+2674.17</f>
        <v>20689.120000000003</v>
      </c>
      <c r="G19" s="134">
        <f>F19+1500</f>
        <v>22189.120000000003</v>
      </c>
      <c r="H19" s="134">
        <f>G19</f>
        <v>22189.120000000003</v>
      </c>
      <c r="I19" s="134">
        <f>H19</f>
        <v>22189.120000000003</v>
      </c>
      <c r="J19" s="14"/>
      <c r="K19" s="14"/>
    </row>
    <row r="20" spans="1:11" ht="31.5">
      <c r="A20" s="45" t="s">
        <v>158</v>
      </c>
      <c r="B20" s="42" t="s">
        <v>22</v>
      </c>
      <c r="C20" s="83">
        <v>59.73</v>
      </c>
      <c r="D20" s="83">
        <v>59.19</v>
      </c>
      <c r="E20" s="141">
        <v>59.8</v>
      </c>
      <c r="F20" s="141">
        <v>61.19</v>
      </c>
      <c r="G20" s="141">
        <v>59.19</v>
      </c>
      <c r="H20" s="141">
        <v>59.19</v>
      </c>
      <c r="I20" s="187">
        <v>59.19</v>
      </c>
      <c r="J20" s="14"/>
      <c r="K20" s="14"/>
    </row>
    <row r="21" spans="1:11" ht="15.75">
      <c r="A21" s="46" t="s">
        <v>2</v>
      </c>
      <c r="B21" s="42"/>
      <c r="C21" s="83"/>
      <c r="D21" s="83"/>
      <c r="E21" s="141"/>
      <c r="F21" s="141"/>
      <c r="G21" s="141"/>
      <c r="H21" s="141"/>
      <c r="I21" s="187"/>
      <c r="J21" s="14"/>
      <c r="K21" s="14"/>
    </row>
    <row r="22" spans="1:11" ht="31.5">
      <c r="A22" s="46" t="s">
        <v>159</v>
      </c>
      <c r="B22" s="42" t="s">
        <v>22</v>
      </c>
      <c r="C22" s="83">
        <v>2</v>
      </c>
      <c r="D22" s="83">
        <v>2</v>
      </c>
      <c r="E22" s="141">
        <v>2</v>
      </c>
      <c r="F22" s="141">
        <v>2</v>
      </c>
      <c r="G22" s="141">
        <v>2</v>
      </c>
      <c r="H22" s="141">
        <v>2</v>
      </c>
      <c r="I22" s="187">
        <v>2</v>
      </c>
      <c r="J22" s="14"/>
      <c r="K22" s="14"/>
    </row>
    <row r="23" spans="1:11" ht="31.5">
      <c r="A23" s="46" t="s">
        <v>51</v>
      </c>
      <c r="B23" s="42" t="s">
        <v>22</v>
      </c>
      <c r="C23" s="83">
        <v>29.33</v>
      </c>
      <c r="D23" s="83">
        <f>26.78+0.46</f>
        <v>27.240000000000002</v>
      </c>
      <c r="E23" s="141">
        <v>29.3</v>
      </c>
      <c r="F23" s="141">
        <v>26.85</v>
      </c>
      <c r="G23" s="141">
        <f t="shared" ref="G23:I23" si="8">26.78+0.46</f>
        <v>27.240000000000002</v>
      </c>
      <c r="H23" s="141">
        <f t="shared" si="8"/>
        <v>27.240000000000002</v>
      </c>
      <c r="I23" s="187">
        <f t="shared" si="8"/>
        <v>27.240000000000002</v>
      </c>
      <c r="J23" s="14"/>
      <c r="K23" s="14"/>
    </row>
    <row r="24" spans="1:11" ht="47.25">
      <c r="A24" s="45" t="s">
        <v>160</v>
      </c>
      <c r="B24" s="42" t="s">
        <v>22</v>
      </c>
      <c r="C24" s="83">
        <v>60</v>
      </c>
      <c r="D24" s="83">
        <v>64</v>
      </c>
      <c r="E24" s="141">
        <v>62</v>
      </c>
      <c r="F24" s="141">
        <v>63</v>
      </c>
      <c r="G24" s="141">
        <v>64</v>
      </c>
      <c r="H24" s="141">
        <v>64</v>
      </c>
      <c r="I24" s="187">
        <v>64</v>
      </c>
      <c r="J24" s="14"/>
      <c r="K24" s="14"/>
    </row>
    <row r="25" spans="1:11" ht="15.75">
      <c r="A25" s="46" t="s">
        <v>2</v>
      </c>
      <c r="B25" s="42"/>
      <c r="C25" s="83"/>
      <c r="D25" s="83"/>
      <c r="E25" s="141"/>
      <c r="F25" s="141"/>
      <c r="G25" s="141"/>
      <c r="H25" s="141"/>
      <c r="I25" s="187"/>
      <c r="J25" s="14"/>
      <c r="K25" s="14"/>
    </row>
    <row r="26" spans="1:11" ht="47.25">
      <c r="A26" s="46" t="s">
        <v>52</v>
      </c>
      <c r="B26" s="42" t="s">
        <v>22</v>
      </c>
      <c r="C26" s="83">
        <v>2</v>
      </c>
      <c r="D26" s="83">
        <v>2</v>
      </c>
      <c r="E26" s="141">
        <v>2</v>
      </c>
      <c r="F26" s="141">
        <v>2</v>
      </c>
      <c r="G26" s="141">
        <v>2</v>
      </c>
      <c r="H26" s="141">
        <v>2</v>
      </c>
      <c r="I26" s="187">
        <v>2</v>
      </c>
      <c r="J26" s="14"/>
      <c r="K26" s="14"/>
    </row>
    <row r="27" spans="1:11" ht="47.25">
      <c r="A27" s="46" t="s">
        <v>53</v>
      </c>
      <c r="B27" s="42" t="s">
        <v>22</v>
      </c>
      <c r="C27" s="83">
        <v>29</v>
      </c>
      <c r="D27" s="83">
        <v>28</v>
      </c>
      <c r="E27" s="141">
        <v>30</v>
      </c>
      <c r="F27" s="141">
        <v>28</v>
      </c>
      <c r="G27" s="141">
        <v>28</v>
      </c>
      <c r="H27" s="141">
        <v>28</v>
      </c>
      <c r="I27" s="187">
        <v>28</v>
      </c>
      <c r="J27" s="14"/>
      <c r="K27" s="14"/>
    </row>
    <row r="28" spans="1:11" ht="63">
      <c r="A28" s="45" t="s">
        <v>43</v>
      </c>
      <c r="B28" s="42" t="s">
        <v>22</v>
      </c>
      <c r="C28" s="83">
        <v>28.4</v>
      </c>
      <c r="D28" s="134">
        <f>D30+1.05+0.21</f>
        <v>29.97</v>
      </c>
      <c r="E28" s="134">
        <v>30</v>
      </c>
      <c r="F28" s="134">
        <f>F30+1.05+0.21</f>
        <v>29.97</v>
      </c>
      <c r="G28" s="134">
        <f t="shared" ref="G28:H28" si="9">G30+1.05+0.21</f>
        <v>29.97</v>
      </c>
      <c r="H28" s="134">
        <f t="shared" si="9"/>
        <v>29.97</v>
      </c>
      <c r="I28" s="134">
        <f t="shared" ref="I28" si="10">I30+1.05+0.21</f>
        <v>29.97</v>
      </c>
      <c r="J28" s="14"/>
      <c r="K28" s="14"/>
    </row>
    <row r="29" spans="1:11" ht="15.75">
      <c r="A29" s="46" t="s">
        <v>28</v>
      </c>
      <c r="B29" s="42"/>
      <c r="C29" s="83"/>
      <c r="D29" s="83"/>
      <c r="E29" s="141"/>
      <c r="F29" s="141"/>
      <c r="G29" s="141"/>
      <c r="H29" s="141"/>
      <c r="I29" s="187"/>
    </row>
    <row r="30" spans="1:11" ht="15.75">
      <c r="A30" s="46" t="s">
        <v>214</v>
      </c>
      <c r="B30" s="83" t="s">
        <v>23</v>
      </c>
      <c r="C30" s="134">
        <v>28.4</v>
      </c>
      <c r="D30" s="134">
        <f>28.33+0.38</f>
        <v>28.709999999999997</v>
      </c>
      <c r="E30" s="134">
        <v>28.5</v>
      </c>
      <c r="F30" s="134">
        <f t="shared" ref="F30:I30" si="11">28.33+0.38</f>
        <v>28.709999999999997</v>
      </c>
      <c r="G30" s="134">
        <f t="shared" si="11"/>
        <v>28.709999999999997</v>
      </c>
      <c r="H30" s="134">
        <f t="shared" si="11"/>
        <v>28.709999999999997</v>
      </c>
      <c r="I30" s="134">
        <f t="shared" si="11"/>
        <v>28.709999999999997</v>
      </c>
      <c r="J30" s="14"/>
      <c r="K30" s="14"/>
    </row>
    <row r="31" spans="1:11" ht="15.75">
      <c r="A31" s="46" t="s">
        <v>215</v>
      </c>
      <c r="B31" s="83" t="s">
        <v>23</v>
      </c>
      <c r="C31" s="134">
        <v>20.399999999999999</v>
      </c>
      <c r="D31" s="134">
        <f>20.33</f>
        <v>20.329999999999998</v>
      </c>
      <c r="E31" s="134">
        <v>21</v>
      </c>
      <c r="F31" s="134">
        <f t="shared" ref="F31:I31" si="12">20.33</f>
        <v>20.329999999999998</v>
      </c>
      <c r="G31" s="134">
        <f t="shared" si="12"/>
        <v>20.329999999999998</v>
      </c>
      <c r="H31" s="134">
        <f t="shared" si="12"/>
        <v>20.329999999999998</v>
      </c>
      <c r="I31" s="134">
        <f t="shared" si="12"/>
        <v>20.329999999999998</v>
      </c>
      <c r="J31" s="14"/>
      <c r="K31" s="14"/>
    </row>
    <row r="32" spans="1:11" ht="78.75">
      <c r="A32" s="45" t="s">
        <v>34</v>
      </c>
      <c r="B32" s="42" t="s">
        <v>24</v>
      </c>
      <c r="C32" s="134">
        <v>49700</v>
      </c>
      <c r="D32" s="134">
        <v>49700</v>
      </c>
      <c r="E32" s="134">
        <v>70621.09</v>
      </c>
      <c r="F32" s="134">
        <v>74599.740000000005</v>
      </c>
      <c r="G32" s="134">
        <v>80025.179999999993</v>
      </c>
      <c r="H32" s="134">
        <f>G32</f>
        <v>80025.179999999993</v>
      </c>
      <c r="I32" s="134">
        <f>H32</f>
        <v>80025.179999999993</v>
      </c>
    </row>
    <row r="33" spans="1:11" ht="31.5">
      <c r="A33" s="45" t="s">
        <v>35</v>
      </c>
      <c r="B33" s="42" t="s">
        <v>24</v>
      </c>
      <c r="C33" s="43" t="s">
        <v>3</v>
      </c>
      <c r="D33" s="43" t="s">
        <v>3</v>
      </c>
      <c r="E33" s="43" t="s">
        <v>3</v>
      </c>
      <c r="F33" s="43" t="s">
        <v>3</v>
      </c>
      <c r="G33" s="43" t="s">
        <v>3</v>
      </c>
      <c r="H33" s="43"/>
      <c r="I33" s="43"/>
    </row>
    <row r="34" spans="1:11" ht="47.25">
      <c r="A34" s="46" t="s">
        <v>44</v>
      </c>
      <c r="B34" s="42"/>
      <c r="C34" s="134">
        <f>(C35+C36)/2</f>
        <v>49628.5</v>
      </c>
      <c r="D34" s="134">
        <f t="shared" ref="D34" si="13">(D35+D36)/2</f>
        <v>53351.634999999995</v>
      </c>
      <c r="E34" s="134">
        <f>(70389.95+67327.59)/2</f>
        <v>68858.76999999999</v>
      </c>
      <c r="F34" s="134">
        <f t="shared" ref="F34:I34" si="14">(62074.8+66788.92)/2</f>
        <v>64431.86</v>
      </c>
      <c r="G34" s="134">
        <f t="shared" si="14"/>
        <v>64431.86</v>
      </c>
      <c r="H34" s="134">
        <f t="shared" si="14"/>
        <v>64431.86</v>
      </c>
      <c r="I34" s="134">
        <f t="shared" si="14"/>
        <v>64431.86</v>
      </c>
    </row>
    <row r="35" spans="1:11" ht="15.75">
      <c r="A35" s="46" t="s">
        <v>214</v>
      </c>
      <c r="B35" s="83" t="s">
        <v>24</v>
      </c>
      <c r="C35" s="144">
        <v>48847.26</v>
      </c>
      <c r="D35" s="144">
        <v>54331.24</v>
      </c>
      <c r="E35" s="144">
        <v>70389.95</v>
      </c>
      <c r="F35" s="144">
        <v>62074.8</v>
      </c>
      <c r="G35" s="144">
        <v>62074.8</v>
      </c>
      <c r="H35" s="144">
        <v>62074.8</v>
      </c>
      <c r="I35" s="144">
        <v>62074.8</v>
      </c>
      <c r="J35" s="14"/>
      <c r="K35" s="14"/>
    </row>
    <row r="36" spans="1:11" ht="15.75">
      <c r="A36" s="46" t="s">
        <v>215</v>
      </c>
      <c r="B36" s="83" t="s">
        <v>24</v>
      </c>
      <c r="C36" s="144">
        <v>50409.74</v>
      </c>
      <c r="D36" s="144">
        <v>52372.03</v>
      </c>
      <c r="E36" s="144">
        <v>70894.740000000005</v>
      </c>
      <c r="F36" s="144">
        <v>62074.8</v>
      </c>
      <c r="G36" s="144">
        <v>62074.8</v>
      </c>
      <c r="H36" s="144">
        <v>62074.8</v>
      </c>
      <c r="I36" s="144">
        <v>62074.8</v>
      </c>
      <c r="J36" s="14"/>
      <c r="K36" s="14"/>
    </row>
    <row r="37" spans="1:11" ht="47.25">
      <c r="A37" s="45" t="s">
        <v>161</v>
      </c>
      <c r="B37" s="42" t="s">
        <v>25</v>
      </c>
      <c r="C37" s="135">
        <f t="shared" ref="C37:H37" si="15">((C12/C22/12)/((C9+C16)/C20/12))*100</f>
        <v>146.48088319497404</v>
      </c>
      <c r="D37" s="135">
        <f t="shared" si="15"/>
        <v>109.12802925122259</v>
      </c>
      <c r="E37" s="135">
        <f>((E12/E22/12)/((E9+E16)/E20/12))*100</f>
        <v>161.86446269321993</v>
      </c>
      <c r="F37" s="135">
        <f t="shared" si="15"/>
        <v>163.02773568986493</v>
      </c>
      <c r="G37" s="135">
        <f t="shared" si="15"/>
        <v>148.01370914455129</v>
      </c>
      <c r="H37" s="135">
        <f t="shared" si="15"/>
        <v>148.01370914455129</v>
      </c>
      <c r="I37" s="135">
        <f t="shared" ref="I37" si="16">((I12/I22/12)/((I9+I16)/I20/12))*100</f>
        <v>148.01370914455129</v>
      </c>
    </row>
    <row r="38" spans="1:11" ht="63">
      <c r="A38" s="45" t="s">
        <v>45</v>
      </c>
      <c r="B38" s="42" t="s">
        <v>25</v>
      </c>
      <c r="C38" s="43" t="s">
        <v>3</v>
      </c>
      <c r="D38" s="43" t="s">
        <v>3</v>
      </c>
      <c r="E38" s="43" t="s">
        <v>3</v>
      </c>
      <c r="F38" s="43" t="s">
        <v>3</v>
      </c>
      <c r="G38" s="43" t="s">
        <v>3</v>
      </c>
      <c r="H38" s="43"/>
      <c r="I38" s="43"/>
    </row>
    <row r="39" spans="1:11" ht="47.25">
      <c r="A39" s="46" t="s">
        <v>44</v>
      </c>
      <c r="B39" s="42"/>
      <c r="C39" s="134">
        <f>C34/C32*100</f>
        <v>99.856136820925556</v>
      </c>
      <c r="D39" s="134">
        <f>D34/D32*100</f>
        <v>107.34735412474848</v>
      </c>
      <c r="E39" s="134">
        <f>E34/E32*100</f>
        <v>97.504541490367814</v>
      </c>
      <c r="F39" s="134">
        <f t="shared" ref="F39:H39" si="17">F34/F32*100</f>
        <v>86.370086544537543</v>
      </c>
      <c r="G39" s="134">
        <f t="shared" si="17"/>
        <v>80.514483066454844</v>
      </c>
      <c r="H39" s="134">
        <f t="shared" si="17"/>
        <v>80.514483066454844</v>
      </c>
      <c r="I39" s="134">
        <f t="shared" ref="I39" si="18">I34/I32*100</f>
        <v>80.514483066454844</v>
      </c>
    </row>
    <row r="40" spans="1:11" ht="15.75">
      <c r="A40" s="46"/>
      <c r="B40" s="42" t="s">
        <v>25</v>
      </c>
      <c r="C40" s="43"/>
      <c r="D40" s="43"/>
      <c r="E40" s="43"/>
      <c r="F40" s="43"/>
      <c r="G40" s="43"/>
      <c r="H40" s="43"/>
      <c r="I40" s="43"/>
    </row>
    <row r="41" spans="1:11" ht="31.5">
      <c r="A41" s="45" t="s">
        <v>162</v>
      </c>
      <c r="B41" s="43" t="s">
        <v>3</v>
      </c>
      <c r="C41" s="43" t="s">
        <v>3</v>
      </c>
      <c r="D41" s="43" t="s">
        <v>3</v>
      </c>
      <c r="E41" s="43" t="s">
        <v>3</v>
      </c>
      <c r="F41" s="43" t="s">
        <v>3</v>
      </c>
      <c r="G41" s="44" t="s">
        <v>3</v>
      </c>
      <c r="H41" s="47"/>
      <c r="I41" s="47"/>
    </row>
    <row r="42" spans="1:11" ht="33" customHeight="1">
      <c r="A42" s="45" t="s">
        <v>163</v>
      </c>
      <c r="B42" s="42" t="s">
        <v>26</v>
      </c>
      <c r="C42" s="134">
        <v>2550.8000000000002</v>
      </c>
      <c r="D42" s="134">
        <v>2550.8000000000002</v>
      </c>
      <c r="E42" s="134">
        <v>2250.8000000000002</v>
      </c>
      <c r="F42" s="134">
        <v>2250.8000000000002</v>
      </c>
      <c r="G42" s="134">
        <v>2250.8000000000002</v>
      </c>
      <c r="H42" s="134">
        <v>2250.8000000000002</v>
      </c>
      <c r="I42" s="134">
        <v>2250.8000000000002</v>
      </c>
    </row>
    <row r="43" spans="1:11" ht="15.75">
      <c r="A43" s="46" t="s">
        <v>2</v>
      </c>
      <c r="B43" s="42"/>
      <c r="C43" s="134"/>
      <c r="D43" s="134"/>
      <c r="E43" s="134"/>
      <c r="F43" s="134"/>
      <c r="G43" s="134"/>
      <c r="H43" s="134"/>
      <c r="I43" s="134"/>
    </row>
    <row r="44" spans="1:11" ht="31.5">
      <c r="A44" s="46" t="s">
        <v>29</v>
      </c>
      <c r="B44" s="42" t="s">
        <v>26</v>
      </c>
      <c r="C44" s="134"/>
      <c r="D44" s="134"/>
      <c r="E44" s="134"/>
      <c r="F44" s="134"/>
      <c r="G44" s="134"/>
      <c r="H44" s="134"/>
      <c r="I44" s="134"/>
    </row>
    <row r="45" spans="1:11" ht="47.25">
      <c r="A45" s="46" t="s">
        <v>46</v>
      </c>
      <c r="B45" s="42" t="s">
        <v>26</v>
      </c>
      <c r="C45" s="134"/>
      <c r="D45" s="134"/>
      <c r="E45" s="134"/>
      <c r="F45" s="134"/>
      <c r="G45" s="134"/>
      <c r="H45" s="134"/>
      <c r="I45" s="134"/>
    </row>
    <row r="46" spans="1:11" ht="31.5">
      <c r="A46" s="46" t="s">
        <v>30</v>
      </c>
      <c r="B46" s="42" t="s">
        <v>26</v>
      </c>
      <c r="C46" s="134"/>
      <c r="D46" s="134"/>
      <c r="E46" s="134"/>
      <c r="F46" s="134"/>
      <c r="G46" s="134"/>
      <c r="H46" s="134"/>
      <c r="I46" s="134"/>
    </row>
    <row r="47" spans="1:11" ht="15.75">
      <c r="A47" s="45" t="s">
        <v>54</v>
      </c>
      <c r="B47" s="42" t="s">
        <v>23</v>
      </c>
      <c r="C47" s="134">
        <f>('Стр.2-8'!E114+'Стр.2-8'!E189)/1000</f>
        <v>1256.90472</v>
      </c>
      <c r="D47" s="134">
        <f>('Стр.2-8'!F114+'Стр.2-8'!F189)/1000</f>
        <v>1375.6783</v>
      </c>
      <c r="E47" s="134">
        <f>('Стр.2-8'!G114+'Стр.2-8'!G223)/1000</f>
        <v>2182.6916499999998</v>
      </c>
      <c r="F47" s="134">
        <f>('Стр.2-8'!H114+'Стр.2-8'!H223)/1000</f>
        <v>2266.9592299999999</v>
      </c>
      <c r="G47" s="134">
        <f>('Стр.2-8'!I114+'Стр.2-8'!I223)/1000</f>
        <v>2266.9592299999999</v>
      </c>
      <c r="H47" s="134">
        <f>('Стр.2-8'!J114+'Стр.2-8'!J223)/1000</f>
        <v>1153.4515900000001</v>
      </c>
      <c r="I47" s="134">
        <f>('Стр.2-8'!K114+'Стр.2-8'!K223)/1000</f>
        <v>1153.4515900000001</v>
      </c>
    </row>
    <row r="48" spans="1:11" ht="15.75">
      <c r="A48" s="46" t="s">
        <v>2</v>
      </c>
      <c r="B48" s="42"/>
      <c r="C48" s="134"/>
      <c r="D48" s="134"/>
      <c r="E48" s="134"/>
      <c r="F48" s="134"/>
      <c r="G48" s="134"/>
      <c r="H48" s="134"/>
      <c r="I48" s="134"/>
    </row>
    <row r="49" spans="1:9" ht="47.25">
      <c r="A49" s="46" t="s">
        <v>164</v>
      </c>
      <c r="B49" s="42" t="s">
        <v>23</v>
      </c>
      <c r="C49" s="134">
        <v>0</v>
      </c>
      <c r="D49" s="134">
        <v>0</v>
      </c>
      <c r="E49" s="134">
        <v>0</v>
      </c>
      <c r="F49" s="134">
        <v>0</v>
      </c>
      <c r="G49" s="134">
        <v>0</v>
      </c>
      <c r="H49" s="134">
        <v>0</v>
      </c>
      <c r="I49" s="134">
        <v>0</v>
      </c>
    </row>
    <row r="50" spans="1:9" ht="63">
      <c r="A50" s="45" t="s">
        <v>32</v>
      </c>
      <c r="B50" s="42" t="s">
        <v>31</v>
      </c>
      <c r="C50" s="136">
        <v>57.3</v>
      </c>
      <c r="D50" s="136">
        <v>34</v>
      </c>
      <c r="E50" s="136">
        <v>38.51</v>
      </c>
      <c r="F50" s="136">
        <v>34.6</v>
      </c>
      <c r="G50" s="136">
        <f>F50</f>
        <v>34.6</v>
      </c>
      <c r="H50" s="136">
        <f>G50</f>
        <v>34.6</v>
      </c>
      <c r="I50" s="136">
        <f>H50</f>
        <v>34.6</v>
      </c>
    </row>
    <row r="51" spans="1:9" ht="78.75">
      <c r="A51" s="45" t="s">
        <v>47</v>
      </c>
      <c r="B51" s="42" t="s">
        <v>31</v>
      </c>
      <c r="C51" s="136">
        <v>0</v>
      </c>
      <c r="D51" s="136">
        <v>0</v>
      </c>
      <c r="E51" s="136">
        <v>0</v>
      </c>
      <c r="F51" s="136">
        <v>0</v>
      </c>
      <c r="G51" s="136">
        <v>0</v>
      </c>
      <c r="H51" s="136">
        <v>0</v>
      </c>
      <c r="I51" s="136">
        <v>0</v>
      </c>
    </row>
    <row r="52" spans="1:9" ht="78.75">
      <c r="A52" s="45" t="s">
        <v>33</v>
      </c>
      <c r="B52" s="42" t="s">
        <v>31</v>
      </c>
      <c r="C52" s="136"/>
      <c r="D52" s="136"/>
      <c r="E52" s="136"/>
      <c r="F52" s="136"/>
      <c r="G52" s="136"/>
      <c r="H52" s="136"/>
      <c r="I52" s="136"/>
    </row>
    <row r="53" spans="1:9" ht="15.75">
      <c r="A53" s="46" t="s">
        <v>2</v>
      </c>
      <c r="B53" s="42"/>
      <c r="C53" s="43"/>
      <c r="D53" s="43"/>
      <c r="E53" s="43"/>
      <c r="F53" s="43"/>
      <c r="G53" s="43"/>
      <c r="H53" s="43"/>
      <c r="I53" s="43"/>
    </row>
    <row r="54" spans="1:9" ht="15.75">
      <c r="A54" s="45"/>
      <c r="B54" s="42" t="s">
        <v>31</v>
      </c>
      <c r="C54" s="43"/>
      <c r="D54" s="43"/>
      <c r="E54" s="43"/>
      <c r="F54" s="43"/>
      <c r="G54" s="43"/>
      <c r="H54" s="43"/>
      <c r="I54" s="43"/>
    </row>
    <row r="55" spans="1:9" ht="18.75">
      <c r="A55" s="40"/>
      <c r="B55"/>
      <c r="C55"/>
      <c r="D55"/>
      <c r="E55"/>
      <c r="F55"/>
      <c r="G55"/>
      <c r="H55"/>
      <c r="I55"/>
    </row>
  </sheetData>
  <mergeCells count="5">
    <mergeCell ref="A5:A6"/>
    <mergeCell ref="B5:B6"/>
    <mergeCell ref="A1:I1"/>
    <mergeCell ref="A2:B2"/>
    <mergeCell ref="E2:F2"/>
  </mergeCells>
  <phoneticPr fontId="11" type="noConversion"/>
  <pageMargins left="0.78740157480314965" right="0.39370078740157483" top="0.78740157480314965" bottom="0.78740157480314965" header="0.31496062992125984" footer="0.31496062992125984"/>
  <pageSetup paperSize="9" scale="75" fitToHeight="2" orientation="landscape" r:id="rId1"/>
  <headerFooter differentOddEven="1"/>
</worksheet>
</file>

<file path=xl/worksheets/sheet6.xml><?xml version="1.0" encoding="utf-8"?>
<worksheet xmlns="http://schemas.openxmlformats.org/spreadsheetml/2006/main" xmlns:r="http://schemas.openxmlformats.org/officeDocument/2006/relationships">
  <sheetPr>
    <tabColor rgb="FFFF0000"/>
  </sheetPr>
  <dimension ref="A1:L27"/>
  <sheetViews>
    <sheetView view="pageBreakPreview" zoomScale="70" zoomScaleNormal="75" zoomScaleSheetLayoutView="70" workbookViewId="0">
      <selection activeCell="D6" sqref="D6"/>
    </sheetView>
  </sheetViews>
  <sheetFormatPr defaultRowHeight="12.75"/>
  <cols>
    <col min="1" max="4" width="30.7109375" style="14" customWidth="1"/>
    <col min="5" max="12" width="11.42578125" style="14" customWidth="1"/>
    <col min="13" max="16384" width="9.140625" style="14"/>
  </cols>
  <sheetData>
    <row r="1" spans="1:12" ht="51.75" customHeight="1">
      <c r="A1" s="494" t="s">
        <v>165</v>
      </c>
      <c r="B1" s="494"/>
      <c r="C1" s="494"/>
      <c r="D1" s="494"/>
      <c r="E1" s="41"/>
      <c r="F1" s="41"/>
      <c r="G1" s="41"/>
      <c r="H1" s="41"/>
      <c r="I1" s="41"/>
      <c r="J1" s="41"/>
      <c r="K1" s="41"/>
      <c r="L1" s="41"/>
    </row>
    <row r="2" spans="1:12" ht="18.75" customHeight="1">
      <c r="A2" s="207" t="s">
        <v>261</v>
      </c>
      <c r="B2" s="504">
        <v>45317</v>
      </c>
      <c r="C2" s="504"/>
      <c r="D2" s="206"/>
      <c r="E2" s="39"/>
      <c r="F2" s="39"/>
      <c r="G2" s="39"/>
      <c r="H2" s="39"/>
      <c r="I2" s="39"/>
      <c r="J2" s="39"/>
      <c r="K2" s="39"/>
      <c r="L2" s="39"/>
    </row>
    <row r="4" spans="1:12" ht="91.5" customHeight="1">
      <c r="A4" s="37" t="s">
        <v>37</v>
      </c>
      <c r="B4" s="37" t="s">
        <v>38</v>
      </c>
      <c r="C4" s="37" t="s">
        <v>40</v>
      </c>
      <c r="D4" s="37" t="s">
        <v>166</v>
      </c>
    </row>
    <row r="5" spans="1:12" ht="84" customHeight="1">
      <c r="A5" s="38" t="s">
        <v>55</v>
      </c>
      <c r="B5" s="147" t="s">
        <v>340</v>
      </c>
      <c r="C5" s="147" t="s">
        <v>227</v>
      </c>
      <c r="D5" s="146">
        <v>82</v>
      </c>
    </row>
    <row r="6" spans="1:12" ht="74.25" customHeight="1">
      <c r="A6" s="38" t="s">
        <v>48</v>
      </c>
      <c r="B6" s="38"/>
      <c r="C6" s="38"/>
      <c r="D6" s="145"/>
    </row>
    <row r="7" spans="1:12" ht="69.75" customHeight="1">
      <c r="A7" s="38" t="s">
        <v>49</v>
      </c>
      <c r="B7" s="38"/>
      <c r="C7" s="38"/>
      <c r="D7" s="145"/>
    </row>
    <row r="8" spans="1:12" ht="58.5" customHeight="1">
      <c r="A8" s="38" t="s">
        <v>168</v>
      </c>
      <c r="B8" s="38"/>
      <c r="C8" s="38"/>
      <c r="D8" s="145"/>
    </row>
    <row r="9" spans="1:12" ht="21.75" customHeight="1">
      <c r="A9" s="38" t="s">
        <v>39</v>
      </c>
      <c r="B9" s="37" t="s">
        <v>3</v>
      </c>
      <c r="C9" s="37" t="s">
        <v>3</v>
      </c>
      <c r="D9" s="146">
        <f>D5</f>
        <v>82</v>
      </c>
    </row>
    <row r="11" spans="1:12" ht="20.100000000000001" customHeight="1">
      <c r="A11" s="501" t="s">
        <v>280</v>
      </c>
      <c r="B11" s="501"/>
      <c r="C11" s="501"/>
      <c r="D11" s="501"/>
    </row>
    <row r="12" spans="1:12" ht="20.100000000000001" customHeight="1">
      <c r="A12" s="502" t="s">
        <v>263</v>
      </c>
      <c r="B12" s="502"/>
      <c r="C12" s="502"/>
      <c r="D12" s="502"/>
    </row>
    <row r="13" spans="1:12" ht="20.100000000000001" customHeight="1">
      <c r="A13" s="497" t="s">
        <v>356</v>
      </c>
      <c r="B13" s="497"/>
      <c r="C13" s="497"/>
      <c r="D13" s="497"/>
    </row>
    <row r="14" spans="1:12" ht="20.100000000000001" customHeight="1">
      <c r="A14" s="503" t="s">
        <v>357</v>
      </c>
      <c r="B14" s="503"/>
      <c r="C14" s="503"/>
      <c r="D14" s="503"/>
    </row>
    <row r="15" spans="1:12" ht="20.100000000000001" customHeight="1">
      <c r="A15" s="209"/>
      <c r="B15" s="209"/>
      <c r="C15" s="209"/>
      <c r="D15" s="209"/>
    </row>
    <row r="16" spans="1:12" ht="20.100000000000001" customHeight="1">
      <c r="A16" s="250">
        <f>B2</f>
        <v>45317</v>
      </c>
      <c r="B16" s="210"/>
      <c r="C16" s="210"/>
      <c r="D16" s="210"/>
    </row>
    <row r="17" spans="1:4" ht="20.100000000000001" customHeight="1">
      <c r="A17" s="50"/>
      <c r="B17" s="208"/>
      <c r="C17" s="208"/>
      <c r="D17" s="208"/>
    </row>
    <row r="18" spans="1:4" ht="20.100000000000001" customHeight="1">
      <c r="A18" s="50"/>
      <c r="B18" s="208"/>
      <c r="C18" s="208"/>
      <c r="D18" s="208"/>
    </row>
    <row r="19" spans="1:4" ht="20.100000000000001" customHeight="1">
      <c r="A19" s="498" t="s">
        <v>262</v>
      </c>
      <c r="B19" s="498"/>
      <c r="C19" s="498"/>
      <c r="D19" s="498"/>
    </row>
    <row r="20" spans="1:4" ht="20.100000000000001" customHeight="1">
      <c r="A20" s="499" t="s">
        <v>342</v>
      </c>
      <c r="B20" s="499"/>
      <c r="C20" s="499"/>
      <c r="D20" s="499"/>
    </row>
    <row r="21" spans="1:4" ht="20.100000000000001" customHeight="1">
      <c r="A21" s="500" t="s">
        <v>167</v>
      </c>
      <c r="B21" s="500"/>
      <c r="C21" s="500"/>
      <c r="D21" s="500"/>
    </row>
    <row r="22" spans="1:4" ht="20.100000000000001" customHeight="1">
      <c r="A22" s="265"/>
      <c r="B22" s="265"/>
      <c r="C22" s="265"/>
      <c r="D22" s="265"/>
    </row>
    <row r="23" spans="1:4" ht="20.100000000000001" customHeight="1">
      <c r="A23" s="267"/>
      <c r="B23" s="268" t="s">
        <v>341</v>
      </c>
      <c r="C23" s="264"/>
      <c r="D23" s="264"/>
    </row>
    <row r="24" spans="1:4" ht="20.100000000000001" customHeight="1">
      <c r="A24" s="266" t="s">
        <v>6</v>
      </c>
      <c r="B24" s="266" t="s">
        <v>11</v>
      </c>
      <c r="C24" s="264"/>
      <c r="D24" s="264"/>
    </row>
    <row r="25" spans="1:4" ht="20.100000000000001" customHeight="1">
      <c r="A25" s="205"/>
      <c r="B25" s="205"/>
      <c r="C25" s="205"/>
      <c r="D25" s="205"/>
    </row>
    <row r="26" spans="1:4" ht="20.100000000000001" customHeight="1">
      <c r="A26" s="250">
        <f>A16</f>
        <v>45317</v>
      </c>
      <c r="B26" s="210"/>
      <c r="C26" s="210"/>
      <c r="D26" s="210"/>
    </row>
    <row r="27" spans="1:4" ht="20.100000000000001" customHeight="1">
      <c r="A27" s="208"/>
      <c r="B27" s="208"/>
      <c r="C27" s="208"/>
      <c r="D27" s="208"/>
    </row>
  </sheetData>
  <mergeCells count="9">
    <mergeCell ref="A13:D13"/>
    <mergeCell ref="A19:D19"/>
    <mergeCell ref="A20:D20"/>
    <mergeCell ref="A21:D21"/>
    <mergeCell ref="A1:D1"/>
    <mergeCell ref="A11:D11"/>
    <mergeCell ref="A12:D12"/>
    <mergeCell ref="A14:D14"/>
    <mergeCell ref="B2:C2"/>
  </mergeCells>
  <phoneticPr fontId="11" type="noConversion"/>
  <pageMargins left="0.59055118110236227" right="3.937007874015748E-2" top="0.98425196850393704"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18</vt:i4>
      </vt:variant>
    </vt:vector>
  </HeadingPairs>
  <TitlesOfParts>
    <vt:vector size="24" baseType="lpstr">
      <vt:lpstr>Стр.1</vt:lpstr>
      <vt:lpstr>1</vt:lpstr>
      <vt:lpstr>Стр.2-8</vt:lpstr>
      <vt:lpstr>Стр.9-11</vt:lpstr>
      <vt:lpstr>Стр. 12-14</vt:lpstr>
      <vt:lpstr>Стр.15</vt:lpstr>
      <vt:lpstr>'Стр.2-8'!_ftn4</vt:lpstr>
      <vt:lpstr>'Стр.2-8'!_ftn5</vt:lpstr>
      <vt:lpstr>'Стр.2-8'!_ftn7</vt:lpstr>
      <vt:lpstr>'Стр.2-8'!_ftn8</vt:lpstr>
      <vt:lpstr>'Стр.2-8'!_ftnref1</vt:lpstr>
      <vt:lpstr>'Стр.2-8'!_ftnref2</vt:lpstr>
      <vt:lpstr>'Стр.9-11'!_ftnref2</vt:lpstr>
      <vt:lpstr>'Стр.2-8'!_ftnref3</vt:lpstr>
      <vt:lpstr>'Стр.9-11'!_ftnref3</vt:lpstr>
      <vt:lpstr>'Стр.2-8'!_ftnref4</vt:lpstr>
      <vt:lpstr>'Стр.2-8'!_ftnref5</vt:lpstr>
      <vt:lpstr>'Стр.2-8'!_ftnref7</vt:lpstr>
      <vt:lpstr>'Стр.2-8'!_ftnref8</vt:lpstr>
      <vt:lpstr>'1'!Область_печати</vt:lpstr>
      <vt:lpstr>'Стр. 12-14'!Область_печати</vt:lpstr>
      <vt:lpstr>Стр.1!Область_печати</vt:lpstr>
      <vt:lpstr>'Стр.2-8'!Область_печати</vt:lpstr>
      <vt:lpstr>'Стр.9-11'!Область_печати</vt:lpstr>
    </vt:vector>
  </TitlesOfParts>
  <Company>Министерство финансов Мурманской области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Tcbuh#Zamdir#1</cp:lastModifiedBy>
  <cp:lastPrinted>2024-02-01T07:53:45Z</cp:lastPrinted>
  <dcterms:created xsi:type="dcterms:W3CDTF">2015-12-03T07:22:45Z</dcterms:created>
  <dcterms:modified xsi:type="dcterms:W3CDTF">2024-02-01T08:29:34Z</dcterms:modified>
</cp:coreProperties>
</file>